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2025\"/>
    </mc:Choice>
  </mc:AlternateContent>
  <xr:revisionPtr revIDLastSave="0" documentId="13_ncr:1_{98811F6C-A2D6-4718-9A4A-2781DE9FB234}" xr6:coauthVersionLast="37" xr6:coauthVersionMax="37" xr10:uidLastSave="{00000000-0000-0000-0000-000000000000}"/>
  <bookViews>
    <workbookView xWindow="0" yWindow="0" windowWidth="23040" windowHeight="939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H455" i="1"/>
  <c r="F455" i="1"/>
  <c r="E455" i="1"/>
  <c r="H454" i="1"/>
  <c r="F454" i="1"/>
  <c r="F453" i="1" s="1"/>
  <c r="E454" i="1"/>
  <c r="H452" i="1"/>
  <c r="F452" i="1"/>
  <c r="E452" i="1"/>
  <c r="H451" i="1"/>
  <c r="F451" i="1"/>
  <c r="E451" i="1"/>
  <c r="H450" i="1"/>
  <c r="F450" i="1"/>
  <c r="E450" i="1"/>
  <c r="H449" i="1"/>
  <c r="F449" i="1"/>
  <c r="F448" i="1" s="1"/>
  <c r="F456" i="1" s="1"/>
  <c r="E449" i="1"/>
  <c r="H446" i="1"/>
  <c r="H445" i="1" s="1"/>
  <c r="F446" i="1"/>
  <c r="F445" i="1" s="1"/>
  <c r="E446" i="1"/>
  <c r="E445" i="1" s="1"/>
  <c r="H444" i="1"/>
  <c r="H443" i="1" s="1"/>
  <c r="F444" i="1"/>
  <c r="F443" i="1" s="1"/>
  <c r="E444" i="1"/>
  <c r="E443" i="1" s="1"/>
  <c r="H442" i="1"/>
  <c r="F442" i="1"/>
  <c r="E442" i="1"/>
  <c r="H441" i="1"/>
  <c r="F441" i="1"/>
  <c r="E441" i="1"/>
  <c r="H440" i="1"/>
  <c r="F440" i="1"/>
  <c r="E440" i="1"/>
  <c r="H439" i="1"/>
  <c r="F439" i="1"/>
  <c r="E439" i="1"/>
  <c r="H438" i="1"/>
  <c r="F438" i="1"/>
  <c r="E438" i="1"/>
  <c r="H437" i="1"/>
  <c r="F437" i="1"/>
  <c r="E437" i="1"/>
  <c r="H436" i="1"/>
  <c r="F436" i="1"/>
  <c r="E436" i="1"/>
  <c r="H435" i="1"/>
  <c r="F435" i="1"/>
  <c r="E435" i="1"/>
  <c r="H434" i="1"/>
  <c r="F434" i="1"/>
  <c r="E434" i="1"/>
  <c r="H433" i="1"/>
  <c r="F433" i="1"/>
  <c r="E433" i="1"/>
  <c r="H432" i="1"/>
  <c r="F432" i="1"/>
  <c r="E432" i="1"/>
  <c r="H431" i="1"/>
  <c r="F431" i="1"/>
  <c r="E431" i="1"/>
  <c r="H430" i="1"/>
  <c r="F430" i="1"/>
  <c r="E430" i="1"/>
  <c r="H429" i="1"/>
  <c r="F429" i="1"/>
  <c r="E429" i="1"/>
  <c r="H428" i="1"/>
  <c r="F428" i="1"/>
  <c r="E428" i="1"/>
  <c r="E425" i="1" s="1"/>
  <c r="E424" i="1" s="1"/>
  <c r="H427" i="1"/>
  <c r="F427" i="1"/>
  <c r="E427" i="1"/>
  <c r="H426" i="1"/>
  <c r="F426" i="1"/>
  <c r="E426" i="1"/>
  <c r="H423" i="1"/>
  <c r="F423" i="1"/>
  <c r="E423" i="1"/>
  <c r="H422" i="1"/>
  <c r="F422" i="1"/>
  <c r="E422" i="1"/>
  <c r="H421" i="1"/>
  <c r="F421" i="1"/>
  <c r="E421" i="1"/>
  <c r="H419" i="1"/>
  <c r="F419" i="1"/>
  <c r="E419" i="1"/>
  <c r="H418" i="1"/>
  <c r="F418" i="1"/>
  <c r="E418" i="1"/>
  <c r="H417" i="1"/>
  <c r="F417" i="1"/>
  <c r="E417" i="1"/>
  <c r="H413" i="1"/>
  <c r="H412" i="1" s="1"/>
  <c r="F413" i="1"/>
  <c r="F412" i="1" s="1"/>
  <c r="E413" i="1"/>
  <c r="E412" i="1" s="1"/>
  <c r="H411" i="1"/>
  <c r="F411" i="1"/>
  <c r="E411" i="1"/>
  <c r="H410" i="1"/>
  <c r="F410" i="1"/>
  <c r="E410" i="1"/>
  <c r="H408" i="1"/>
  <c r="F408" i="1"/>
  <c r="E408" i="1"/>
  <c r="H407" i="1"/>
  <c r="F407" i="1"/>
  <c r="E407" i="1"/>
  <c r="H405" i="1"/>
  <c r="F405" i="1"/>
  <c r="E405" i="1"/>
  <c r="H402" i="1"/>
  <c r="F402" i="1"/>
  <c r="E402" i="1"/>
  <c r="H401" i="1"/>
  <c r="F401" i="1"/>
  <c r="E401" i="1"/>
  <c r="H398" i="1"/>
  <c r="H397" i="1" s="1"/>
  <c r="F398" i="1"/>
  <c r="F397" i="1" s="1"/>
  <c r="E398" i="1"/>
  <c r="E397" i="1" s="1"/>
  <c r="H396" i="1"/>
  <c r="F396" i="1"/>
  <c r="E396" i="1"/>
  <c r="H395" i="1"/>
  <c r="F395" i="1"/>
  <c r="E395" i="1"/>
  <c r="H394" i="1"/>
  <c r="F394" i="1"/>
  <c r="E394" i="1"/>
  <c r="H392" i="1"/>
  <c r="H391" i="1" s="1"/>
  <c r="F392" i="1"/>
  <c r="F391" i="1" s="1"/>
  <c r="E392" i="1"/>
  <c r="E391" i="1" s="1"/>
  <c r="H390" i="1"/>
  <c r="F390" i="1"/>
  <c r="E390" i="1"/>
  <c r="H389" i="1"/>
  <c r="F389" i="1"/>
  <c r="E389" i="1"/>
  <c r="H388" i="1"/>
  <c r="F388" i="1"/>
  <c r="E388" i="1"/>
  <c r="H387" i="1"/>
  <c r="F387" i="1"/>
  <c r="E387" i="1"/>
  <c r="H386" i="1"/>
  <c r="F386" i="1"/>
  <c r="E386" i="1"/>
  <c r="H383" i="1"/>
  <c r="F383" i="1"/>
  <c r="E383" i="1"/>
  <c r="H382" i="1"/>
  <c r="F382" i="1"/>
  <c r="E382" i="1"/>
  <c r="H378" i="1"/>
  <c r="H377" i="1" s="1"/>
  <c r="H376" i="1" s="1"/>
  <c r="F378" i="1"/>
  <c r="F377" i="1" s="1"/>
  <c r="F376" i="1" s="1"/>
  <c r="E378" i="1"/>
  <c r="E377" i="1" s="1"/>
  <c r="E376" i="1" s="1"/>
  <c r="H375" i="1"/>
  <c r="H374" i="1" s="1"/>
  <c r="H373" i="1" s="1"/>
  <c r="F375" i="1"/>
  <c r="F374" i="1" s="1"/>
  <c r="F373" i="1" s="1"/>
  <c r="E375" i="1"/>
  <c r="E374" i="1" s="1"/>
  <c r="E373" i="1" s="1"/>
  <c r="H372" i="1"/>
  <c r="F372" i="1"/>
  <c r="E372" i="1"/>
  <c r="H371" i="1"/>
  <c r="F371" i="1"/>
  <c r="E371" i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4" i="1"/>
  <c r="H363" i="1" s="1"/>
  <c r="F364" i="1"/>
  <c r="F363" i="1" s="1"/>
  <c r="E364" i="1"/>
  <c r="E363" i="1" s="1"/>
  <c r="H362" i="1"/>
  <c r="F362" i="1"/>
  <c r="E362" i="1"/>
  <c r="H360" i="1"/>
  <c r="H359" i="1" s="1"/>
  <c r="F360" i="1"/>
  <c r="F359" i="1" s="1"/>
  <c r="E360" i="1"/>
  <c r="E359" i="1" s="1"/>
  <c r="H357" i="1"/>
  <c r="H356" i="1" s="1"/>
  <c r="F357" i="1"/>
  <c r="F356" i="1" s="1"/>
  <c r="E357" i="1"/>
  <c r="E356" i="1" s="1"/>
  <c r="H355" i="1"/>
  <c r="H354" i="1" s="1"/>
  <c r="F355" i="1"/>
  <c r="F354" i="1" s="1"/>
  <c r="E355" i="1"/>
  <c r="E354" i="1" s="1"/>
  <c r="H352" i="1"/>
  <c r="H351" i="1" s="1"/>
  <c r="F352" i="1"/>
  <c r="F351" i="1" s="1"/>
  <c r="E352" i="1"/>
  <c r="E351" i="1" s="1"/>
  <c r="H350" i="1"/>
  <c r="H349" i="1" s="1"/>
  <c r="F350" i="1"/>
  <c r="F349" i="1" s="1"/>
  <c r="E350" i="1"/>
  <c r="E349" i="1" s="1"/>
  <c r="H348" i="1"/>
  <c r="H347" i="1" s="1"/>
  <c r="F348" i="1"/>
  <c r="F347" i="1" s="1"/>
  <c r="E348" i="1"/>
  <c r="E347" i="1" s="1"/>
  <c r="H345" i="1"/>
  <c r="H344" i="1" s="1"/>
  <c r="H343" i="1" s="1"/>
  <c r="F345" i="1"/>
  <c r="F344" i="1" s="1"/>
  <c r="F343" i="1" s="1"/>
  <c r="E345" i="1"/>
  <c r="E344" i="1" s="1"/>
  <c r="E343" i="1" s="1"/>
  <c r="H342" i="1"/>
  <c r="H341" i="1" s="1"/>
  <c r="F342" i="1"/>
  <c r="F341" i="1" s="1"/>
  <c r="E342" i="1"/>
  <c r="E341" i="1" s="1"/>
  <c r="H340" i="1"/>
  <c r="F340" i="1"/>
  <c r="E340" i="1"/>
  <c r="H339" i="1"/>
  <c r="F339" i="1"/>
  <c r="E339" i="1"/>
  <c r="H338" i="1"/>
  <c r="F338" i="1"/>
  <c r="E338" i="1"/>
  <c r="H336" i="1"/>
  <c r="F336" i="1"/>
  <c r="E336" i="1"/>
  <c r="H335" i="1"/>
  <c r="F335" i="1"/>
  <c r="E335" i="1"/>
  <c r="H334" i="1"/>
  <c r="F334" i="1"/>
  <c r="E334" i="1"/>
  <c r="H333" i="1"/>
  <c r="F333" i="1"/>
  <c r="E333" i="1"/>
  <c r="H332" i="1"/>
  <c r="F332" i="1"/>
  <c r="E332" i="1"/>
  <c r="H331" i="1"/>
  <c r="F331" i="1"/>
  <c r="E331" i="1"/>
  <c r="H327" i="1"/>
  <c r="H326" i="1" s="1"/>
  <c r="F327" i="1"/>
  <c r="F326" i="1" s="1"/>
  <c r="E327" i="1"/>
  <c r="E326" i="1" s="1"/>
  <c r="H325" i="1"/>
  <c r="F325" i="1"/>
  <c r="E325" i="1"/>
  <c r="H324" i="1"/>
  <c r="F324" i="1"/>
  <c r="E324" i="1"/>
  <c r="H323" i="1"/>
  <c r="F323" i="1"/>
  <c r="E323" i="1"/>
  <c r="H322" i="1"/>
  <c r="F322" i="1"/>
  <c r="E322" i="1"/>
  <c r="H321" i="1"/>
  <c r="F321" i="1"/>
  <c r="E321" i="1"/>
  <c r="H320" i="1"/>
  <c r="F320" i="1"/>
  <c r="E320" i="1"/>
  <c r="H319" i="1"/>
  <c r="F319" i="1"/>
  <c r="E319" i="1"/>
  <c r="H318" i="1"/>
  <c r="F318" i="1"/>
  <c r="E318" i="1"/>
  <c r="H317" i="1"/>
  <c r="F317" i="1"/>
  <c r="E317" i="1"/>
  <c r="H316" i="1"/>
  <c r="F316" i="1"/>
  <c r="E316" i="1"/>
  <c r="H315" i="1"/>
  <c r="F315" i="1"/>
  <c r="E315" i="1"/>
  <c r="H312" i="1"/>
  <c r="F312" i="1"/>
  <c r="E312" i="1"/>
  <c r="H311" i="1"/>
  <c r="F311" i="1"/>
  <c r="E311" i="1"/>
  <c r="H309" i="1"/>
  <c r="F309" i="1"/>
  <c r="E309" i="1"/>
  <c r="H308" i="1"/>
  <c r="F308" i="1"/>
  <c r="E308" i="1"/>
  <c r="H305" i="1"/>
  <c r="H304" i="1" s="1"/>
  <c r="F305" i="1"/>
  <c r="F304" i="1" s="1"/>
  <c r="E305" i="1"/>
  <c r="E304" i="1" s="1"/>
  <c r="H303" i="1"/>
  <c r="H302" i="1" s="1"/>
  <c r="F303" i="1"/>
  <c r="F302" i="1" s="1"/>
  <c r="E303" i="1"/>
  <c r="E302" i="1" s="1"/>
  <c r="H301" i="1"/>
  <c r="F301" i="1"/>
  <c r="E301" i="1"/>
  <c r="H300" i="1"/>
  <c r="F300" i="1"/>
  <c r="E300" i="1"/>
  <c r="H299" i="1"/>
  <c r="F299" i="1"/>
  <c r="E299" i="1"/>
  <c r="H295" i="1"/>
  <c r="F295" i="1"/>
  <c r="E295" i="1"/>
  <c r="H294" i="1"/>
  <c r="F294" i="1"/>
  <c r="E294" i="1"/>
  <c r="H293" i="1"/>
  <c r="F293" i="1"/>
  <c r="E293" i="1"/>
  <c r="H292" i="1"/>
  <c r="F292" i="1"/>
  <c r="E292" i="1"/>
  <c r="H290" i="1"/>
  <c r="F290" i="1"/>
  <c r="E290" i="1"/>
  <c r="H289" i="1"/>
  <c r="F289" i="1"/>
  <c r="E289" i="1"/>
  <c r="H288" i="1"/>
  <c r="F288" i="1"/>
  <c r="E288" i="1"/>
  <c r="H285" i="1"/>
  <c r="H284" i="1" s="1"/>
  <c r="F285" i="1"/>
  <c r="F284" i="1" s="1"/>
  <c r="E285" i="1"/>
  <c r="E284" i="1" s="1"/>
  <c r="H283" i="1"/>
  <c r="F283" i="1"/>
  <c r="E283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7" i="1"/>
  <c r="F277" i="1"/>
  <c r="E277" i="1"/>
  <c r="H274" i="1"/>
  <c r="H273" i="1" s="1"/>
  <c r="F274" i="1"/>
  <c r="F273" i="1" s="1"/>
  <c r="E274" i="1"/>
  <c r="E273" i="1" s="1"/>
  <c r="H272" i="1"/>
  <c r="H271" i="1" s="1"/>
  <c r="F272" i="1"/>
  <c r="F271" i="1" s="1"/>
  <c r="E272" i="1"/>
  <c r="E271" i="1" s="1"/>
  <c r="E270" i="1"/>
  <c r="E269" i="1"/>
  <c r="H268" i="1"/>
  <c r="H267" i="1" s="1"/>
  <c r="F268" i="1"/>
  <c r="F267" i="1" s="1"/>
  <c r="E268" i="1"/>
  <c r="H266" i="1"/>
  <c r="F266" i="1"/>
  <c r="E266" i="1"/>
  <c r="H265" i="1"/>
  <c r="F265" i="1"/>
  <c r="E265" i="1"/>
  <c r="H262" i="1"/>
  <c r="H261" i="1" s="1"/>
  <c r="H260" i="1" s="1"/>
  <c r="F262" i="1"/>
  <c r="F261" i="1" s="1"/>
  <c r="F260" i="1" s="1"/>
  <c r="E262" i="1"/>
  <c r="E261" i="1" s="1"/>
  <c r="E260" i="1" s="1"/>
  <c r="H258" i="1"/>
  <c r="H257" i="1" s="1"/>
  <c r="H256" i="1" s="1"/>
  <c r="F258" i="1"/>
  <c r="F257" i="1" s="1"/>
  <c r="F256" i="1" s="1"/>
  <c r="E258" i="1"/>
  <c r="E257" i="1" s="1"/>
  <c r="E256" i="1" s="1"/>
  <c r="H255" i="1"/>
  <c r="H254" i="1" s="1"/>
  <c r="F255" i="1"/>
  <c r="F254" i="1" s="1"/>
  <c r="E255" i="1"/>
  <c r="E254" i="1" s="1"/>
  <c r="H253" i="1"/>
  <c r="H252" i="1" s="1"/>
  <c r="H251" i="1" s="1"/>
  <c r="F253" i="1"/>
  <c r="F252" i="1" s="1"/>
  <c r="F251" i="1" s="1"/>
  <c r="E253" i="1"/>
  <c r="E252" i="1" s="1"/>
  <c r="E251" i="1" s="1"/>
  <c r="H250" i="1"/>
  <c r="H249" i="1" s="1"/>
  <c r="F250" i="1"/>
  <c r="F249" i="1" s="1"/>
  <c r="E250" i="1"/>
  <c r="E249" i="1" s="1"/>
  <c r="H248" i="1"/>
  <c r="H247" i="1" s="1"/>
  <c r="H259" i="1" s="1"/>
  <c r="F248" i="1"/>
  <c r="F247" i="1" s="1"/>
  <c r="F259" i="1" s="1"/>
  <c r="E248" i="1"/>
  <c r="E247" i="1" s="1"/>
  <c r="E259" i="1" s="1"/>
  <c r="H245" i="1"/>
  <c r="H244" i="1" s="1"/>
  <c r="H243" i="1" s="1"/>
  <c r="F245" i="1"/>
  <c r="F244" i="1" s="1"/>
  <c r="F243" i="1" s="1"/>
  <c r="E245" i="1"/>
  <c r="E244" i="1" s="1"/>
  <c r="E243" i="1" s="1"/>
  <c r="H242" i="1"/>
  <c r="F242" i="1"/>
  <c r="E242" i="1"/>
  <c r="H241" i="1"/>
  <c r="F241" i="1"/>
  <c r="E241" i="1"/>
  <c r="H240" i="1"/>
  <c r="F240" i="1"/>
  <c r="E240" i="1"/>
  <c r="H237" i="1"/>
  <c r="F237" i="1"/>
  <c r="E237" i="1"/>
  <c r="H236" i="1"/>
  <c r="F236" i="1"/>
  <c r="E236" i="1"/>
  <c r="H235" i="1"/>
  <c r="F235" i="1"/>
  <c r="E235" i="1"/>
  <c r="H234" i="1"/>
  <c r="F234" i="1"/>
  <c r="E234" i="1"/>
  <c r="H233" i="1"/>
  <c r="F233" i="1"/>
  <c r="E233" i="1"/>
  <c r="H232" i="1"/>
  <c r="F232" i="1"/>
  <c r="E232" i="1"/>
  <c r="H231" i="1"/>
  <c r="F231" i="1"/>
  <c r="E231" i="1"/>
  <c r="H230" i="1"/>
  <c r="F230" i="1"/>
  <c r="E230" i="1"/>
  <c r="H229" i="1"/>
  <c r="F229" i="1"/>
  <c r="E229" i="1"/>
  <c r="H228" i="1"/>
  <c r="F228" i="1"/>
  <c r="E228" i="1"/>
  <c r="H227" i="1"/>
  <c r="F227" i="1"/>
  <c r="E227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8" i="1"/>
  <c r="F218" i="1"/>
  <c r="E218" i="1"/>
  <c r="H217" i="1"/>
  <c r="F217" i="1"/>
  <c r="E217" i="1"/>
  <c r="H216" i="1"/>
  <c r="F216" i="1"/>
  <c r="E216" i="1"/>
  <c r="H213" i="1"/>
  <c r="F213" i="1"/>
  <c r="E213" i="1"/>
  <c r="H212" i="1"/>
  <c r="F212" i="1"/>
  <c r="E212" i="1"/>
  <c r="H211" i="1"/>
  <c r="F211" i="1"/>
  <c r="E211" i="1"/>
  <c r="H210" i="1"/>
  <c r="F210" i="1"/>
  <c r="E210" i="1"/>
  <c r="H209" i="1"/>
  <c r="F209" i="1"/>
  <c r="E209" i="1"/>
  <c r="H207" i="1"/>
  <c r="H206" i="1" s="1"/>
  <c r="F207" i="1"/>
  <c r="F206" i="1" s="1"/>
  <c r="E207" i="1"/>
  <c r="E206" i="1" s="1"/>
  <c r="H205" i="1"/>
  <c r="F205" i="1"/>
  <c r="E205" i="1"/>
  <c r="H204" i="1"/>
  <c r="F204" i="1"/>
  <c r="E204" i="1"/>
  <c r="H201" i="1"/>
  <c r="F201" i="1"/>
  <c r="E201" i="1"/>
  <c r="H200" i="1"/>
  <c r="F200" i="1"/>
  <c r="E200" i="1"/>
  <c r="H199" i="1"/>
  <c r="F199" i="1"/>
  <c r="E199" i="1"/>
  <c r="H198" i="1"/>
  <c r="F198" i="1"/>
  <c r="E198" i="1"/>
  <c r="H196" i="1"/>
  <c r="F196" i="1"/>
  <c r="E196" i="1"/>
  <c r="H195" i="1"/>
  <c r="F195" i="1"/>
  <c r="E195" i="1"/>
  <c r="H194" i="1"/>
  <c r="F194" i="1"/>
  <c r="E194" i="1"/>
  <c r="H193" i="1"/>
  <c r="F193" i="1"/>
  <c r="E193" i="1"/>
  <c r="H192" i="1"/>
  <c r="F192" i="1"/>
  <c r="E192" i="1"/>
  <c r="H190" i="1"/>
  <c r="F190" i="1"/>
  <c r="E190" i="1"/>
  <c r="H189" i="1"/>
  <c r="F189" i="1"/>
  <c r="E189" i="1"/>
  <c r="H188" i="1"/>
  <c r="F188" i="1"/>
  <c r="E188" i="1"/>
  <c r="H187" i="1"/>
  <c r="F187" i="1"/>
  <c r="E187" i="1"/>
  <c r="H186" i="1"/>
  <c r="F186" i="1"/>
  <c r="E186" i="1"/>
  <c r="H184" i="1"/>
  <c r="F184" i="1"/>
  <c r="E184" i="1"/>
  <c r="H183" i="1"/>
  <c r="F183" i="1"/>
  <c r="E183" i="1"/>
  <c r="H182" i="1"/>
  <c r="F182" i="1"/>
  <c r="E182" i="1"/>
  <c r="H181" i="1"/>
  <c r="F181" i="1"/>
  <c r="E181" i="1"/>
  <c r="H180" i="1"/>
  <c r="F180" i="1"/>
  <c r="E180" i="1"/>
  <c r="H179" i="1"/>
  <c r="F179" i="1"/>
  <c r="E179" i="1"/>
  <c r="H177" i="1"/>
  <c r="F177" i="1"/>
  <c r="E177" i="1"/>
  <c r="H176" i="1"/>
  <c r="F176" i="1"/>
  <c r="E176" i="1"/>
  <c r="H175" i="1"/>
  <c r="F175" i="1"/>
  <c r="E175" i="1"/>
  <c r="H171" i="1"/>
  <c r="H170" i="1" s="1"/>
  <c r="F171" i="1"/>
  <c r="F170" i="1" s="1"/>
  <c r="E171" i="1"/>
  <c r="E170" i="1" s="1"/>
  <c r="H169" i="1"/>
  <c r="H168" i="1" s="1"/>
  <c r="F169" i="1"/>
  <c r="F168" i="1" s="1"/>
  <c r="E169" i="1"/>
  <c r="E168" i="1" s="1"/>
  <c r="H165" i="1"/>
  <c r="H164" i="1" s="1"/>
  <c r="F165" i="1"/>
  <c r="F164" i="1" s="1"/>
  <c r="E165" i="1"/>
  <c r="E164" i="1" s="1"/>
  <c r="H161" i="1"/>
  <c r="H160" i="1" s="1"/>
  <c r="H159" i="1" s="1"/>
  <c r="F161" i="1"/>
  <c r="F160" i="1" s="1"/>
  <c r="F159" i="1" s="1"/>
  <c r="E161" i="1"/>
  <c r="E160" i="1" s="1"/>
  <c r="E159" i="1" s="1"/>
  <c r="H158" i="1"/>
  <c r="H157" i="1" s="1"/>
  <c r="H156" i="1" s="1"/>
  <c r="H162" i="1" s="1"/>
  <c r="F158" i="1"/>
  <c r="F157" i="1" s="1"/>
  <c r="F156" i="1" s="1"/>
  <c r="F162" i="1" s="1"/>
  <c r="E158" i="1"/>
  <c r="E157" i="1" s="1"/>
  <c r="E156" i="1" s="1"/>
  <c r="E162" i="1" s="1"/>
  <c r="H154" i="1"/>
  <c r="H153" i="1" s="1"/>
  <c r="F154" i="1"/>
  <c r="F153" i="1" s="1"/>
  <c r="E154" i="1"/>
  <c r="E153" i="1" s="1"/>
  <c r="H152" i="1"/>
  <c r="F152" i="1"/>
  <c r="E152" i="1"/>
  <c r="H151" i="1"/>
  <c r="F151" i="1"/>
  <c r="E151" i="1"/>
  <c r="H150" i="1"/>
  <c r="F150" i="1"/>
  <c r="E150" i="1"/>
  <c r="H147" i="1"/>
  <c r="H146" i="1" s="1"/>
  <c r="F147" i="1"/>
  <c r="F146" i="1" s="1"/>
  <c r="E147" i="1"/>
  <c r="E146" i="1" s="1"/>
  <c r="H145" i="1"/>
  <c r="H144" i="1" s="1"/>
  <c r="F145" i="1"/>
  <c r="F144" i="1" s="1"/>
  <c r="E145" i="1"/>
  <c r="E144" i="1" s="1"/>
  <c r="H143" i="1"/>
  <c r="H142" i="1" s="1"/>
  <c r="F143" i="1"/>
  <c r="F142" i="1" s="1"/>
  <c r="E143" i="1"/>
  <c r="E142" i="1" s="1"/>
  <c r="H141" i="1"/>
  <c r="F141" i="1"/>
  <c r="E141" i="1"/>
  <c r="H140" i="1"/>
  <c r="F140" i="1"/>
  <c r="E140" i="1"/>
  <c r="H139" i="1"/>
  <c r="F139" i="1"/>
  <c r="E139" i="1"/>
  <c r="H135" i="1"/>
  <c r="H134" i="1" s="1"/>
  <c r="H133" i="1" s="1"/>
  <c r="F135" i="1"/>
  <c r="F134" i="1" s="1"/>
  <c r="F133" i="1" s="1"/>
  <c r="E135" i="1"/>
  <c r="E134" i="1" s="1"/>
  <c r="E133" i="1" s="1"/>
  <c r="H132" i="1"/>
  <c r="F132" i="1"/>
  <c r="E132" i="1"/>
  <c r="H131" i="1"/>
  <c r="F131" i="1"/>
  <c r="E131" i="1"/>
  <c r="H129" i="1"/>
  <c r="H128" i="1" s="1"/>
  <c r="H127" i="1" s="1"/>
  <c r="F129" i="1"/>
  <c r="F128" i="1" s="1"/>
  <c r="F127" i="1" s="1"/>
  <c r="E129" i="1"/>
  <c r="E128" i="1" s="1"/>
  <c r="E127" i="1" s="1"/>
  <c r="H126" i="1"/>
  <c r="H125" i="1" s="1"/>
  <c r="F126" i="1"/>
  <c r="F125" i="1" s="1"/>
  <c r="E126" i="1"/>
  <c r="E125" i="1" s="1"/>
  <c r="H124" i="1"/>
  <c r="F124" i="1"/>
  <c r="E124" i="1"/>
  <c r="H123" i="1"/>
  <c r="F123" i="1"/>
  <c r="E123" i="1"/>
  <c r="H120" i="1"/>
  <c r="F120" i="1"/>
  <c r="E120" i="1"/>
  <c r="H119" i="1"/>
  <c r="H118" i="1" s="1"/>
  <c r="F119" i="1"/>
  <c r="F118" i="1" s="1"/>
  <c r="E119" i="1"/>
  <c r="E118" i="1" s="1"/>
  <c r="H117" i="1"/>
  <c r="F117" i="1"/>
  <c r="E117" i="1"/>
  <c r="H116" i="1"/>
  <c r="F116" i="1"/>
  <c r="E116" i="1"/>
  <c r="H115" i="1"/>
  <c r="F115" i="1"/>
  <c r="E115" i="1"/>
  <c r="H114" i="1"/>
  <c r="F114" i="1"/>
  <c r="E114" i="1"/>
  <c r="H109" i="1"/>
  <c r="F109" i="1"/>
  <c r="E109" i="1"/>
  <c r="H108" i="1"/>
  <c r="F108" i="1"/>
  <c r="E108" i="1"/>
  <c r="H105" i="1"/>
  <c r="F105" i="1"/>
  <c r="E105" i="1"/>
  <c r="H104" i="1"/>
  <c r="F104" i="1"/>
  <c r="E104" i="1"/>
  <c r="H103" i="1"/>
  <c r="H102" i="1" s="1"/>
  <c r="F103" i="1"/>
  <c r="F102" i="1" s="1"/>
  <c r="E103" i="1"/>
  <c r="E102" i="1" s="1"/>
  <c r="H101" i="1"/>
  <c r="H100" i="1" s="1"/>
  <c r="F101" i="1"/>
  <c r="F100" i="1" s="1"/>
  <c r="E101" i="1"/>
  <c r="E100" i="1" s="1"/>
  <c r="H99" i="1"/>
  <c r="H98" i="1" s="1"/>
  <c r="F99" i="1"/>
  <c r="F98" i="1" s="1"/>
  <c r="E99" i="1"/>
  <c r="E98" i="1" s="1"/>
  <c r="H97" i="1"/>
  <c r="F97" i="1"/>
  <c r="E97" i="1"/>
  <c r="H96" i="1"/>
  <c r="F96" i="1"/>
  <c r="E96" i="1"/>
  <c r="H95" i="1"/>
  <c r="F95" i="1"/>
  <c r="E95" i="1"/>
  <c r="H94" i="1"/>
  <c r="F94" i="1"/>
  <c r="E94" i="1"/>
  <c r="H91" i="1"/>
  <c r="F91" i="1"/>
  <c r="E91" i="1"/>
  <c r="H90" i="1"/>
  <c r="F90" i="1"/>
  <c r="E90" i="1"/>
  <c r="H89" i="1"/>
  <c r="F89" i="1"/>
  <c r="E89" i="1"/>
  <c r="H87" i="1"/>
  <c r="H86" i="1" s="1"/>
  <c r="F87" i="1"/>
  <c r="F86" i="1" s="1"/>
  <c r="E87" i="1"/>
  <c r="E86" i="1" s="1"/>
  <c r="H85" i="1"/>
  <c r="F85" i="1"/>
  <c r="E85" i="1"/>
  <c r="H84" i="1"/>
  <c r="F84" i="1"/>
  <c r="E84" i="1"/>
  <c r="H83" i="1"/>
  <c r="H82" i="1" s="1"/>
  <c r="F83" i="1"/>
  <c r="F82" i="1" s="1"/>
  <c r="E83" i="1"/>
  <c r="E82" i="1" s="1"/>
  <c r="H81" i="1"/>
  <c r="H80" i="1" s="1"/>
  <c r="F81" i="1"/>
  <c r="F80" i="1" s="1"/>
  <c r="E81" i="1"/>
  <c r="E80" i="1" s="1"/>
  <c r="H79" i="1"/>
  <c r="F79" i="1"/>
  <c r="E79" i="1"/>
  <c r="H78" i="1"/>
  <c r="F78" i="1"/>
  <c r="E78" i="1"/>
  <c r="H77" i="1"/>
  <c r="F77" i="1"/>
  <c r="E77" i="1"/>
  <c r="H76" i="1"/>
  <c r="F76" i="1"/>
  <c r="E76" i="1"/>
  <c r="H74" i="1"/>
  <c r="F74" i="1"/>
  <c r="E74" i="1"/>
  <c r="H73" i="1"/>
  <c r="F73" i="1"/>
  <c r="E73" i="1"/>
  <c r="H72" i="1"/>
  <c r="F72" i="1"/>
  <c r="E72" i="1"/>
  <c r="H71" i="1"/>
  <c r="F71" i="1"/>
  <c r="E71" i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9" i="1"/>
  <c r="F59" i="1"/>
  <c r="E59" i="1"/>
  <c r="H58" i="1"/>
  <c r="F58" i="1"/>
  <c r="E58" i="1"/>
  <c r="H54" i="1"/>
  <c r="H53" i="1" s="1"/>
  <c r="H52" i="1" s="1"/>
  <c r="F54" i="1"/>
  <c r="F53" i="1" s="1"/>
  <c r="F52" i="1" s="1"/>
  <c r="E54" i="1"/>
  <c r="E53" i="1" s="1"/>
  <c r="H51" i="1"/>
  <c r="F51" i="1"/>
  <c r="E51" i="1"/>
  <c r="H50" i="1"/>
  <c r="H49" i="1" s="1"/>
  <c r="F50" i="1"/>
  <c r="F49" i="1" s="1"/>
  <c r="E50" i="1"/>
  <c r="E49" i="1" s="1"/>
  <c r="H48" i="1"/>
  <c r="F48" i="1"/>
  <c r="E48" i="1"/>
  <c r="H47" i="1"/>
  <c r="F47" i="1"/>
  <c r="E47" i="1"/>
  <c r="H46" i="1"/>
  <c r="F46" i="1"/>
  <c r="F45" i="1" s="1"/>
  <c r="E46" i="1"/>
  <c r="H44" i="1"/>
  <c r="H43" i="1" s="1"/>
  <c r="F44" i="1"/>
  <c r="F43" i="1" s="1"/>
  <c r="E44" i="1"/>
  <c r="E43" i="1" s="1"/>
  <c r="H42" i="1"/>
  <c r="H41" i="1" s="1"/>
  <c r="F42" i="1"/>
  <c r="F41" i="1" s="1"/>
  <c r="E42" i="1"/>
  <c r="E41" i="1" s="1"/>
  <c r="H39" i="1"/>
  <c r="H38" i="1" s="1"/>
  <c r="F39" i="1"/>
  <c r="F38" i="1" s="1"/>
  <c r="E39" i="1"/>
  <c r="E38" i="1" s="1"/>
  <c r="H37" i="1"/>
  <c r="F37" i="1"/>
  <c r="E37" i="1"/>
  <c r="H36" i="1"/>
  <c r="F36" i="1"/>
  <c r="E36" i="1"/>
  <c r="H34" i="1"/>
  <c r="H33" i="1" s="1"/>
  <c r="F34" i="1"/>
  <c r="F33" i="1" s="1"/>
  <c r="E34" i="1"/>
  <c r="E33" i="1" s="1"/>
  <c r="H30" i="1"/>
  <c r="F30" i="1"/>
  <c r="E30" i="1"/>
  <c r="H28" i="1"/>
  <c r="H27" i="1" s="1"/>
  <c r="F28" i="1"/>
  <c r="F27" i="1" s="1"/>
  <c r="E28" i="1"/>
  <c r="E27" i="1" s="1"/>
  <c r="H26" i="1"/>
  <c r="F26" i="1"/>
  <c r="E26" i="1"/>
  <c r="H25" i="1"/>
  <c r="F25" i="1"/>
  <c r="E25" i="1"/>
  <c r="H24" i="1"/>
  <c r="F24" i="1"/>
  <c r="E24" i="1"/>
  <c r="H23" i="1"/>
  <c r="F23" i="1"/>
  <c r="E23" i="1"/>
  <c r="H20" i="1"/>
  <c r="H19" i="1" s="1"/>
  <c r="F20" i="1"/>
  <c r="F19" i="1" s="1"/>
  <c r="E20" i="1"/>
  <c r="E19" i="1" s="1"/>
  <c r="H18" i="1"/>
  <c r="F18" i="1"/>
  <c r="E18" i="1"/>
  <c r="H17" i="1"/>
  <c r="F17" i="1"/>
  <c r="E17" i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H6" i="1"/>
  <c r="H5" i="1" s="1"/>
  <c r="F6" i="1"/>
  <c r="F5" i="1" s="1"/>
  <c r="E6" i="1"/>
  <c r="E5" i="1" s="1"/>
  <c r="F29" i="1" l="1"/>
  <c r="H40" i="1"/>
  <c r="E40" i="1"/>
  <c r="F40" i="1"/>
  <c r="E453" i="1"/>
  <c r="H448" i="1"/>
  <c r="H456" i="1" s="1"/>
  <c r="H453" i="1"/>
  <c r="H416" i="1"/>
  <c r="F420" i="1"/>
  <c r="E448" i="1"/>
  <c r="E456" i="1" s="1"/>
  <c r="H337" i="1"/>
  <c r="F353" i="1"/>
  <c r="H420" i="1"/>
  <c r="H415" i="1" s="1"/>
  <c r="E416" i="1"/>
  <c r="F425" i="1"/>
  <c r="F424" i="1" s="1"/>
  <c r="E381" i="1"/>
  <c r="E380" i="1" s="1"/>
  <c r="F381" i="1"/>
  <c r="F380" i="1" s="1"/>
  <c r="E393" i="1"/>
  <c r="F400" i="1"/>
  <c r="F399" i="1" s="1"/>
  <c r="F416" i="1"/>
  <c r="E420" i="1"/>
  <c r="H425" i="1"/>
  <c r="H424" i="1" s="1"/>
  <c r="E400" i="1"/>
  <c r="E399" i="1" s="1"/>
  <c r="E406" i="1"/>
  <c r="E404" i="1" s="1"/>
  <c r="H409" i="1"/>
  <c r="H381" i="1"/>
  <c r="H380" i="1" s="1"/>
  <c r="F406" i="1"/>
  <c r="F404" i="1" s="1"/>
  <c r="F385" i="1"/>
  <c r="H385" i="1"/>
  <c r="E385" i="1"/>
  <c r="E384" i="1" s="1"/>
  <c r="H400" i="1"/>
  <c r="H399" i="1" s="1"/>
  <c r="H406" i="1"/>
  <c r="H404" i="1" s="1"/>
  <c r="E409" i="1"/>
  <c r="F409" i="1"/>
  <c r="E130" i="1"/>
  <c r="H264" i="1"/>
  <c r="H263" i="1" s="1"/>
  <c r="H275" i="1" s="1"/>
  <c r="E267" i="1"/>
  <c r="E307" i="1"/>
  <c r="E306" i="1" s="1"/>
  <c r="F393" i="1"/>
  <c r="H393" i="1"/>
  <c r="H384" i="1" s="1"/>
  <c r="F365" i="1"/>
  <c r="F361" i="1" s="1"/>
  <c r="F379" i="1" s="1"/>
  <c r="F163" i="1"/>
  <c r="F172" i="1" s="1"/>
  <c r="H239" i="1"/>
  <c r="H238" i="1" s="1"/>
  <c r="H307" i="1"/>
  <c r="H306" i="1" s="1"/>
  <c r="E310" i="1"/>
  <c r="F346" i="1"/>
  <c r="E287" i="1"/>
  <c r="E286" i="1" s="1"/>
  <c r="H330" i="1"/>
  <c r="H365" i="1"/>
  <c r="H361" i="1" s="1"/>
  <c r="H379" i="1" s="1"/>
  <c r="H215" i="1"/>
  <c r="E291" i="1"/>
  <c r="F291" i="1"/>
  <c r="E298" i="1"/>
  <c r="E297" i="1" s="1"/>
  <c r="E328" i="1" s="1"/>
  <c r="H298" i="1"/>
  <c r="H297" i="1" s="1"/>
  <c r="E365" i="1"/>
  <c r="E361" i="1" s="1"/>
  <c r="E379" i="1" s="1"/>
  <c r="H149" i="1"/>
  <c r="H148" i="1" s="1"/>
  <c r="E215" i="1"/>
  <c r="E264" i="1"/>
  <c r="H310" i="1"/>
  <c r="E314" i="1"/>
  <c r="E313" i="1" s="1"/>
  <c r="E337" i="1"/>
  <c r="E353" i="1"/>
  <c r="F307" i="1"/>
  <c r="F306" i="1" s="1"/>
  <c r="E330" i="1"/>
  <c r="F337" i="1"/>
  <c r="E346" i="1"/>
  <c r="F330" i="1"/>
  <c r="H353" i="1"/>
  <c r="H346" i="1"/>
  <c r="H174" i="1"/>
  <c r="F197" i="1"/>
  <c r="F203" i="1"/>
  <c r="E208" i="1"/>
  <c r="H278" i="1"/>
  <c r="H276" i="1" s="1"/>
  <c r="H287" i="1"/>
  <c r="H286" i="1" s="1"/>
  <c r="F298" i="1"/>
  <c r="F297" i="1" s="1"/>
  <c r="F310" i="1"/>
  <c r="H314" i="1"/>
  <c r="E113" i="1"/>
  <c r="E112" i="1" s="1"/>
  <c r="E111" i="1" s="1"/>
  <c r="E136" i="1" s="1"/>
  <c r="H226" i="1"/>
  <c r="H225" i="1" s="1"/>
  <c r="F314" i="1"/>
  <c r="F313" i="1" s="1"/>
  <c r="H313" i="1"/>
  <c r="F149" i="1"/>
  <c r="F148" i="1" s="1"/>
  <c r="H197" i="1"/>
  <c r="H203" i="1"/>
  <c r="F264" i="1"/>
  <c r="F263" i="1" s="1"/>
  <c r="F275" i="1" s="1"/>
  <c r="E278" i="1"/>
  <c r="E276" i="1" s="1"/>
  <c r="E296" i="1" s="1"/>
  <c r="H191" i="1"/>
  <c r="F278" i="1"/>
  <c r="F276" i="1" s="1"/>
  <c r="F296" i="1" s="1"/>
  <c r="H291" i="1"/>
  <c r="E138" i="1"/>
  <c r="E137" i="1" s="1"/>
  <c r="F185" i="1"/>
  <c r="H35" i="1"/>
  <c r="H29" i="1" s="1"/>
  <c r="F122" i="1"/>
  <c r="F121" i="1" s="1"/>
  <c r="H130" i="1"/>
  <c r="F174" i="1"/>
  <c r="H178" i="1"/>
  <c r="E219" i="1"/>
  <c r="F226" i="1"/>
  <c r="F225" i="1" s="1"/>
  <c r="F287" i="1"/>
  <c r="F286" i="1" s="1"/>
  <c r="F219" i="1"/>
  <c r="F138" i="1"/>
  <c r="F137" i="1" s="1"/>
  <c r="E174" i="1"/>
  <c r="F178" i="1"/>
  <c r="H185" i="1"/>
  <c r="H219" i="1"/>
  <c r="E239" i="1"/>
  <c r="E238" i="1" s="1"/>
  <c r="H113" i="1"/>
  <c r="H112" i="1" s="1"/>
  <c r="H111" i="1" s="1"/>
  <c r="H136" i="1" s="1"/>
  <c r="E191" i="1"/>
  <c r="F191" i="1"/>
  <c r="E197" i="1"/>
  <c r="E203" i="1"/>
  <c r="F208" i="1"/>
  <c r="F215" i="1"/>
  <c r="F239" i="1"/>
  <c r="F238" i="1" s="1"/>
  <c r="H163" i="1"/>
  <c r="H172" i="1" s="1"/>
  <c r="E178" i="1"/>
  <c r="E185" i="1"/>
  <c r="H208" i="1"/>
  <c r="E226" i="1"/>
  <c r="E225" i="1" s="1"/>
  <c r="E149" i="1"/>
  <c r="E148" i="1" s="1"/>
  <c r="F113" i="1"/>
  <c r="F112" i="1" s="1"/>
  <c r="F111" i="1" s="1"/>
  <c r="H122" i="1"/>
  <c r="H121" i="1" s="1"/>
  <c r="E163" i="1"/>
  <c r="E172" i="1" s="1"/>
  <c r="E107" i="1"/>
  <c r="E106" i="1" s="1"/>
  <c r="E122" i="1"/>
  <c r="E121" i="1" s="1"/>
  <c r="F130" i="1"/>
  <c r="H138" i="1"/>
  <c r="H137" i="1" s="1"/>
  <c r="H155" i="1" s="1"/>
  <c r="F88" i="1"/>
  <c r="F75" i="1"/>
  <c r="H75" i="1"/>
  <c r="E75" i="1"/>
  <c r="E93" i="1"/>
  <c r="E92" i="1" s="1"/>
  <c r="H107" i="1"/>
  <c r="H106" i="1" s="1"/>
  <c r="F57" i="1"/>
  <c r="H57" i="1"/>
  <c r="H88" i="1"/>
  <c r="F93" i="1"/>
  <c r="F92" i="1" s="1"/>
  <c r="H8" i="1"/>
  <c r="H7" i="1" s="1"/>
  <c r="F8" i="1"/>
  <c r="F7" i="1" s="1"/>
  <c r="F14" i="1" s="1"/>
  <c r="E57" i="1"/>
  <c r="E56" i="1" s="1"/>
  <c r="E110" i="1" s="1"/>
  <c r="E88" i="1"/>
  <c r="H93" i="1"/>
  <c r="H92" i="1" s="1"/>
  <c r="E35" i="1"/>
  <c r="E29" i="1" s="1"/>
  <c r="F107" i="1"/>
  <c r="F106" i="1" s="1"/>
  <c r="E45" i="1"/>
  <c r="F22" i="1"/>
  <c r="F21" i="1" s="1"/>
  <c r="E22" i="1"/>
  <c r="E21" i="1" s="1"/>
  <c r="H16" i="1"/>
  <c r="H22" i="1"/>
  <c r="H21" i="1" s="1"/>
  <c r="F35" i="1"/>
  <c r="E8" i="1"/>
  <c r="E7" i="1" s="1"/>
  <c r="E14" i="1" s="1"/>
  <c r="E16" i="1"/>
  <c r="E15" i="1" s="1"/>
  <c r="F16" i="1"/>
  <c r="F15" i="1" s="1"/>
  <c r="H45" i="1"/>
  <c r="H56" i="1" l="1"/>
  <c r="H110" i="1" s="1"/>
  <c r="F328" i="1"/>
  <c r="E415" i="1"/>
  <c r="E447" i="1" s="1"/>
  <c r="F56" i="1"/>
  <c r="F110" i="1" s="1"/>
  <c r="H202" i="1"/>
  <c r="E155" i="1"/>
  <c r="H414" i="1"/>
  <c r="E414" i="1"/>
  <c r="E403" i="1"/>
  <c r="F55" i="1"/>
  <c r="F136" i="1"/>
  <c r="F155" i="1"/>
  <c r="H296" i="1"/>
  <c r="F414" i="1"/>
  <c r="E55" i="1"/>
  <c r="H447" i="1"/>
  <c r="F384" i="1"/>
  <c r="F403" i="1" s="1"/>
  <c r="F415" i="1"/>
  <c r="F447" i="1" s="1"/>
  <c r="H329" i="1"/>
  <c r="H358" i="1" s="1"/>
  <c r="E263" i="1"/>
  <c r="E275" i="1" s="1"/>
  <c r="F329" i="1"/>
  <c r="F358" i="1" s="1"/>
  <c r="E329" i="1"/>
  <c r="E358" i="1" s="1"/>
  <c r="E214" i="1"/>
  <c r="H403" i="1"/>
  <c r="F202" i="1"/>
  <c r="E202" i="1"/>
  <c r="H214" i="1"/>
  <c r="F214" i="1"/>
  <c r="H173" i="1"/>
  <c r="H246" i="1" s="1"/>
  <c r="F173" i="1"/>
  <c r="E173" i="1"/>
  <c r="E246" i="1" s="1"/>
  <c r="H15" i="1"/>
  <c r="H55" i="1" s="1"/>
  <c r="H328" i="1"/>
  <c r="H14" i="1"/>
  <c r="F246" i="1" l="1"/>
</calcChain>
</file>

<file path=xl/sharedStrings.xml><?xml version="1.0" encoding="utf-8"?>
<sst xmlns="http://schemas.openxmlformats.org/spreadsheetml/2006/main" count="1365" uniqueCount="683">
  <si>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</si>
  <si>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</si>
  <si>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</si>
  <si>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</si>
  <si>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</si>
  <si>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</si>
  <si>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Итого по муниципальной программе</t>
  </si>
  <si>
    <t xml:space="preserve">Культура </t>
  </si>
  <si>
    <t xml:space="preserve">Образование </t>
  </si>
  <si>
    <t>Социальная защита населения</t>
  </si>
  <si>
    <t xml:space="preserve">Спорт </t>
  </si>
  <si>
    <t xml:space="preserve">Развитие сельского хозяйства </t>
  </si>
  <si>
    <t>Экология и окружающая среда</t>
  </si>
  <si>
    <t>Безопасность и обеспечение безопасности жизнедеятельности населения</t>
  </si>
  <si>
    <t xml:space="preserve">Жилище 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</si>
  <si>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</si>
  <si>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</si>
  <si>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</si>
  <si>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</si>
  <si>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</si>
  <si>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</si>
  <si>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</si>
  <si>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</si>
  <si>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</si>
  <si>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Порядковые № разделов и мероприятий, предусмотренных муниципальной программой</t>
  </si>
  <si>
    <t>Выполнено 
(тыс. руб.)</t>
  </si>
  <si>
    <t>Объем финансирования на 2020 год 
(тыс. руб.)</t>
  </si>
  <si>
    <t>Основное мероприятие 2.</t>
  </si>
  <si>
    <t>Подпрограмма 5</t>
  </si>
  <si>
    <t>Финансирование не предусмотрено</t>
  </si>
  <si>
    <t>Основное мероприятие 1.</t>
  </si>
  <si>
    <t>Подпрограмма 3</t>
  </si>
  <si>
    <t>Выполнено на 100%</t>
  </si>
  <si>
    <t>Основное мероприятие 51.</t>
  </si>
  <si>
    <t>Организация строительства (реконструкции) объектов дошкольного образования</t>
  </si>
  <si>
    <t>Организация строительства (реконструкции) объектов общего образования</t>
  </si>
  <si>
    <t>Мероприятие 2.9.</t>
  </si>
  <si>
    <t>Основное мероприятие E1.</t>
  </si>
  <si>
    <t>Современная школа</t>
  </si>
  <si>
    <t>Организация строительства (реконструкции) объектов физической культуры и спорта за счет внебюджетных источников</t>
  </si>
  <si>
    <t>Основное мероприятие P5.</t>
  </si>
  <si>
    <t>Спорт – норма жизни</t>
  </si>
  <si>
    <t>Подпрограмма 1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</si>
  <si>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</si>
  <si>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</si>
  <si>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Мероприятие 1.3.</t>
  </si>
  <si>
    <t>Мероприятие 1.4.</t>
  </si>
  <si>
    <t>Мероприятие 1.9.</t>
  </si>
  <si>
    <t>Мероприятие 1.12.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</si>
  <si>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</si>
  <si>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</si>
  <si>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Мероприятие 1.21.</t>
  </si>
  <si>
    <t>Мероприятие 1.22.</t>
  </si>
  <si>
    <t>Формирование комфортной городской среды</t>
  </si>
  <si>
    <t>Подпрограмма 2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</si>
  <si>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</si>
  <si>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Обеспечение комфортной среды проживания на территории муниципального образования Московской области</t>
  </si>
  <si>
    <t>Мероприятие 1.1.</t>
  </si>
  <si>
    <t>Мероприятие 1.2.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</si>
  <si>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</si>
  <si>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1.15.</t>
  </si>
  <si>
    <t>Содержание дворовых территорий</t>
  </si>
  <si>
    <t>Мероприятие 1.16.</t>
  </si>
  <si>
    <t>Мероприятие 1.17.</t>
  </si>
  <si>
    <t>Мероприятие 1.18.</t>
  </si>
  <si>
    <t>Содержание парков культуры и отдыха</t>
  </si>
  <si>
    <t>Содержание, ремонт и восстановление уличного освещения</t>
  </si>
  <si>
    <t>Замена неэнергоэффективных светильников наружного освещения</t>
  </si>
  <si>
    <t>Основное мероприятие 3.</t>
  </si>
  <si>
    <t>Приведение в надлежащее состояние подъездов в многоквартирных домах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</si>
  <si>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</si>
  <si>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Мероприятие 3.1.</t>
  </si>
  <si>
    <t>Мероприятие 3.2.</t>
  </si>
  <si>
    <t>Основное мероприятие 4.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</si>
  <si>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</si>
  <si>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Мероприятие 4.1.</t>
  </si>
  <si>
    <t>Основное мероприятие 5.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</si>
  <si>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</si>
  <si>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</si>
  <si>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</si>
  <si>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</si>
  <si>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</si>
  <si>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</si>
  <si>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</si>
  <si>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Мероприятие 1.5.</t>
  </si>
  <si>
    <t>Информационная безопасность</t>
  </si>
  <si>
    <t>Мероприятие 2.1.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</si>
  <si>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</si>
  <si>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</si>
  <si>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</si>
  <si>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3.3.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</si>
  <si>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</si>
  <si>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образовательная среда</t>
  </si>
  <si>
    <t>Обеспечивающая подпрограмма</t>
  </si>
  <si>
    <t>Создание условий для реализации полномочий органов местного самоуправления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</si>
  <si>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</si>
  <si>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</si>
  <si>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Подпрограмма 4</t>
  </si>
  <si>
    <t>Мероприятие 2.2.</t>
  </si>
  <si>
    <t>Пассажирский транспорт общего пользования</t>
  </si>
  <si>
    <t>Мероприятие 5.2.</t>
  </si>
  <si>
    <t>Мероприятие 5.3.</t>
  </si>
  <si>
    <t>Дороги Подмосковья</t>
  </si>
  <si>
    <t>Строительство и реконструкция автомобильных дорог местного значения</t>
  </si>
  <si>
    <t>Ремонт, капитальный ремонт сети автомобильных дорог, мостов и путепроводов местного значения</t>
  </si>
  <si>
    <t>Мероприятие 4.3.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</si>
  <si>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</si>
  <si>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</si>
  <si>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Мероприятие 4.9.</t>
  </si>
  <si>
    <t>Мероприятия по обеспечению безопасности дорожного движения</t>
  </si>
  <si>
    <t>Расходы на обеспечение деятельности (оказание услуг) муниципальных учреждений в сфере дорожного хозяйства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</si>
  <si>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</si>
  <si>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</si>
  <si>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</si>
  <si>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</si>
  <si>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Мероприятие 1.6.</t>
  </si>
  <si>
    <t>Мероприятие 1.7.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</si>
  <si>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</si>
  <si>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Основное мероприятие 7.</t>
  </si>
  <si>
    <t>Организация создания и эксплуатации сети объектов наружной рекламы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</si>
  <si>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</si>
  <si>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</si>
  <si>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</si>
  <si>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</si>
  <si>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</si>
  <si>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Мир и согласие. Новые возможности</t>
  </si>
  <si>
    <t>Эффективное местное самоуправление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</si>
  <si>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</si>
  <si>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</si>
  <si>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</si>
  <si>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</si>
  <si>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</si>
  <si>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</si>
  <si>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</si>
  <si>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Организация и проведение мероприятий, направленных на популяризацию добровольчества (волонтерства)</t>
  </si>
  <si>
    <t>Подпрограмма 6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</si>
  <si>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</si>
  <si>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</si>
  <si>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</si>
  <si>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</si>
  <si>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Эффективное управление имущественным комплексом</t>
  </si>
  <si>
    <t>Взносы на капитальный ремонт общего имущества многоквартирных домов</t>
  </si>
  <si>
    <t>Мероприятие 2.3.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</si>
  <si>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</si>
  <si>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</si>
  <si>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</si>
  <si>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</si>
  <si>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</si>
  <si>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</si>
  <si>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Управление муниципальными финансами</t>
  </si>
  <si>
    <t>Основное мероприятие 50.</t>
  </si>
  <si>
    <t>Снижение уровня задолженности по налоговым платежам</t>
  </si>
  <si>
    <t>Функционирование высшего должностного лица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</si>
  <si>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</si>
  <si>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</si>
  <si>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</si>
  <si>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</si>
  <si>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Мероприятие 1.8.</t>
  </si>
  <si>
    <t>Организация и осуществление мероприятий по мобилизационной подготовке</t>
  </si>
  <si>
    <t>Взносы в уставной капитал муниципальных предприятий</t>
  </si>
  <si>
    <t>Мероприятие 1.10.</t>
  </si>
  <si>
    <t>Обеспечение деятельности муниципальных центров управления регионом</t>
  </si>
  <si>
    <t>Обеспечение деятельности муниципальных казенных учреждений в сфере закупок товаров, работ, услуг</t>
  </si>
  <si>
    <t>Мероприятие 1.19.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</si>
  <si>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</si>
  <si>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</si>
  <si>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</si>
  <si>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</si>
  <si>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</si>
  <si>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</si>
  <si>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</si>
  <si>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</si>
  <si>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</si>
  <si>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</si>
  <si>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Основное мероприятие 8.</t>
  </si>
  <si>
    <t xml:space="preserve">Стимулирование инвестиционной деятельности </t>
  </si>
  <si>
    <t>Развитие конкуренции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</si>
  <si>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</si>
  <si>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</si>
  <si>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</si>
  <si>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</si>
  <si>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</si>
  <si>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</si>
  <si>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Мероприятие 2.4.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</si>
  <si>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"налог на профессиональный доход", осуществляющим деятельность на территории Московской области, без проведения торгов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</si>
  <si>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</si>
  <si>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</si>
  <si>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</si>
  <si>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</si>
  <si>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</si>
  <si>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</si>
  <si>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</si>
  <si>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</si>
  <si>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</si>
  <si>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</si>
  <si>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</si>
  <si>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Выполнено на 18%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</si>
  <si>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</si>
  <si>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</si>
  <si>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</si>
  <si>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Выполнено на 8%</t>
  </si>
  <si>
    <t>Мероприятие 2.5.</t>
  </si>
  <si>
    <t>Обеспечение жильем нуждающихся из числа привлеченных медицинских работников</t>
  </si>
  <si>
    <t>Развитие музейного дела</t>
  </si>
  <si>
    <t>Обеспечение выполнения функций муниципальных музеев</t>
  </si>
  <si>
    <t>Выполнено на 24,3%</t>
  </si>
  <si>
    <t>Расходы на обеспечение деятельности (оказание услуг) муниципальных учреждений - музеи, галереи</t>
  </si>
  <si>
    <t>Сохранение достигнутого уровня заработной платы работников муниципальных учреждений культуры</t>
  </si>
  <si>
    <t>Выполнено на 16,7%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</si>
  <si>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</si>
  <si>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</si>
  <si>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</si>
  <si>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>Выполнено на 22,6%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</si>
  <si>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</si>
  <si>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</si>
  <si>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</si>
  <si>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Выполнено на 0%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</si>
  <si>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</si>
  <si>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</si>
  <si>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>Выполнено на 20%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</si>
  <si>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</si>
  <si>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</si>
  <si>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Мероприятие 4.2.</t>
  </si>
  <si>
    <t>Мероприятия в сфере культуры</t>
  </si>
  <si>
    <t>Выполнено на 14,1%</t>
  </si>
  <si>
    <t>Мероприятие 5.4.</t>
  </si>
  <si>
    <t>Мероприятие 5.5.</t>
  </si>
  <si>
    <t>Мероприятие 5.6.</t>
  </si>
  <si>
    <t>Выполнение работ по обеспечению пожарной безопасности в культурно-досуговых учреждениях</t>
  </si>
  <si>
    <t>Обеспечение функций муниципальных учреждений культуры Московской области</t>
  </si>
  <si>
    <t>Укрепление материально-технической базы муниципальных учреждений культуры</t>
  </si>
  <si>
    <t>Создание доступной среды</t>
  </si>
  <si>
    <t>Развитие образования в сфере культуры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</si>
  <si>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</si>
  <si>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</si>
  <si>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</si>
  <si>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</si>
  <si>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>Финансовое обеспечение организаций дополнительного образования сферы культуры Московской области</t>
  </si>
  <si>
    <t>Выполнено на 13,7%</t>
  </si>
  <si>
    <t>Мероприятие 5.1.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</si>
  <si>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</si>
  <si>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Основное мероприятие A1.</t>
  </si>
  <si>
    <t>Культурная среда</t>
  </si>
  <si>
    <t>Подпрограмма 8</t>
  </si>
  <si>
    <t>Выполнено на 24,8%</t>
  </si>
  <si>
    <t>Обеспечение деятельности муниципальных органов - учреждения в сфере культуры</t>
  </si>
  <si>
    <t>Общее образование</t>
  </si>
  <si>
    <t>Финансовое обеспечение деятельности образовательных организаций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</si>
  <si>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</si>
  <si>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16,6%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</si>
  <si>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</si>
  <si>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Выполнено на 19,5%</t>
  </si>
  <si>
    <t>Мероприятие 1.11.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</si>
  <si>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</si>
  <si>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</si>
  <si>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</si>
  <si>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</si>
  <si>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Укрепление материально-технической базы, содержание имущества и проведение текущего ремонта общеобразовательных организаций</t>
  </si>
  <si>
    <t>Мероприятие 1.23.</t>
  </si>
  <si>
    <t>Профессиональная физическая охрана муниципальных учреждений в сфере общеобразовательных организаций</t>
  </si>
  <si>
    <t>Выполнено на 15,3%</t>
  </si>
  <si>
    <t>Мероприятие 1.24.</t>
  </si>
  <si>
    <t>Организация питания обучающихся и воспитанников общеобразовательных организаций</t>
  </si>
  <si>
    <t>Мероприятие 1.25.</t>
  </si>
  <si>
    <t>Мероприятия в сфере образования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</si>
  <si>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</si>
  <si>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</si>
  <si>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</si>
  <si>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Выполнено на 17,4%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</si>
  <si>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</si>
  <si>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</si>
  <si>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</si>
  <si>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</si>
  <si>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Повышение степени пожарной безопасности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</si>
  <si>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</si>
  <si>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</si>
  <si>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</si>
  <si>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Основное мероприятие P2.</t>
  </si>
  <si>
    <t>Содействие занятости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</si>
  <si>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</si>
  <si>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Основное мероприятие EВ.</t>
  </si>
  <si>
    <t>Патриотическое воспитание граждан Российской Федерации</t>
  </si>
  <si>
    <t>Выполнено на 25%</t>
  </si>
  <si>
    <t>Дополнительное образование, воспитание и психолого-социальное сопровождение детей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</si>
  <si>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</si>
  <si>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</si>
  <si>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</si>
  <si>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</si>
  <si>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Выполнено на 16,4%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</si>
  <si>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</si>
  <si>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</si>
  <si>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Выполнение работ по обеспечению пожарной безопасности в муниципальных организациях дополнительного образования</t>
  </si>
  <si>
    <t>Основное мероприятие E2.</t>
  </si>
  <si>
    <t>Успех каждого ребенка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</si>
  <si>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</si>
  <si>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</si>
  <si>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Выполнено на 15%</t>
  </si>
  <si>
    <t>Социальная поддержка граждан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</si>
  <si>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</si>
  <si>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</si>
  <si>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</si>
  <si>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</si>
  <si>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</si>
  <si>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</si>
  <si>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</si>
  <si>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</si>
  <si>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</si>
  <si>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</si>
  <si>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</si>
  <si>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</si>
  <si>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Выполнено на 4,6%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</si>
  <si>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</si>
  <si>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</si>
  <si>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Выполнено на 13,6%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</si>
  <si>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</si>
  <si>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</si>
  <si>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</si>
  <si>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</si>
  <si>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Развитие системы отдыха и оздоровления детей</t>
  </si>
  <si>
    <t>Мероприятия по организации отдыха детей в каникулярное время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</si>
  <si>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</si>
  <si>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</si>
  <si>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</si>
  <si>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</si>
  <si>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</si>
  <si>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</si>
  <si>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</si>
  <si>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Осуществление имущественной, информационной и консультационной поддержки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</si>
  <si>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</si>
  <si>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</si>
  <si>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</si>
  <si>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</si>
  <si>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Развитие физической культуры и спорта</t>
  </si>
  <si>
    <t>Выполнено на 24,9%</t>
  </si>
  <si>
    <t>Расходы на обеспечение деятельности муниципальных учреждений в области физической культуры и спорта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</si>
  <si>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</si>
  <si>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</si>
  <si>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</si>
  <si>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</si>
  <si>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</si>
  <si>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Выполнено на 18,9%</t>
  </si>
  <si>
    <t>Развитие вратарского мастерства по футболу</t>
  </si>
  <si>
    <t>Подготовка спортивного резерва</t>
  </si>
  <si>
    <t>Подготовка спортивных сборных команд</t>
  </si>
  <si>
    <t>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</si>
  <si>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Предоставление субсидий на иные цели из бюджета муниципального образования муниципальным учреждениям по подготовке спортивного резерва</t>
  </si>
  <si>
    <t>Вовлечение в оборот земель сельскохозяйственного назначения и развитие мелиорации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</si>
  <si>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</si>
  <si>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</si>
  <si>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</si>
  <si>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>Сохранение ветеринарно-санитарного благополучия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</si>
  <si>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</si>
  <si>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Выполнено на 12,7%</t>
  </si>
  <si>
    <t>Охрана окружающей среды</t>
  </si>
  <si>
    <t>Проведение обследований состояния окружающей среды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</si>
  <si>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</si>
  <si>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</si>
  <si>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</si>
  <si>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</si>
  <si>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</si>
  <si>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</si>
  <si>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</si>
  <si>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</si>
  <si>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Профилактика преступлений и иных правонарушений</t>
  </si>
  <si>
    <t>Выполнено на 16%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</si>
  <si>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</si>
  <si>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</si>
  <si>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Обеспечение деятельности общественных объединений правоохранительной направленности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</si>
  <si>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</si>
  <si>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</si>
  <si>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</si>
  <si>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</si>
  <si>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</si>
  <si>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</si>
  <si>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</si>
  <si>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Выполнено на 0,05%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</si>
  <si>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</si>
  <si>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</si>
  <si>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</si>
  <si>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</si>
  <si>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</si>
  <si>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</si>
  <si>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</si>
  <si>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</si>
  <si>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Развитие похоронного дела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</si>
  <si>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</si>
  <si>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</si>
  <si>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Выполнено на 10,3%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</si>
  <si>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</si>
  <si>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</si>
  <si>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Обеспечение мероприятий по защите населения и территорий от чрезвычайных ситуаций</t>
  </si>
  <si>
    <t>Выполнено на 0,2%</t>
  </si>
  <si>
    <t>Развитие и эксплуатация Системы-112</t>
  </si>
  <si>
    <t>Развитие Системы-112</t>
  </si>
  <si>
    <t>Содержание и эксплуатация Системы-112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</si>
  <si>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</si>
  <si>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</si>
  <si>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</si>
  <si>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Выполнено на 16,2%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</si>
  <si>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</si>
  <si>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</si>
  <si>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Пропаганда знаний в области гражданской обороны, защиты населения и территории от чрезвычайных ситуаций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</si>
  <si>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</si>
  <si>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</si>
  <si>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</si>
  <si>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</si>
  <si>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Поддержание в постоянной готовности МСОН</t>
  </si>
  <si>
    <t>Развитие и модернизация МСОН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</si>
  <si>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</si>
  <si>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</si>
  <si>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</si>
  <si>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</si>
  <si>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</si>
  <si>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</si>
  <si>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</si>
  <si>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</si>
  <si>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</si>
  <si>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</si>
  <si>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</si>
  <si>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</si>
  <si>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</si>
  <si>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</si>
  <si>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</si>
  <si>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</si>
  <si>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</si>
  <si>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</si>
  <si>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</si>
  <si>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</si>
  <si>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</si>
  <si>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</si>
  <si>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</si>
  <si>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</si>
  <si>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</si>
  <si>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</si>
  <si>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</si>
  <si>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</si>
  <si>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</si>
  <si>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</si>
  <si>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</si>
  <si>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</si>
  <si>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</si>
  <si>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</si>
  <si>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</si>
  <si>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Оказание государственной поддержки по обеспечению жильем отдельных категорий граждан из числа ветеранов и инвалидов Великой Отечественной войны 1941 - 1945 годов и членов их семей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</si>
  <si>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</si>
  <si>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</si>
  <si>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</si>
  <si>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</si>
  <si>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</si>
  <si>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</si>
  <si>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</si>
  <si>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</si>
  <si>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</t>
  </si>
  <si>
    <t>Мероприятие 2.6.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</si>
  <si>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</si>
  <si>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</si>
  <si>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Управление имуществом, находящимся в муниципальной собственности, и выполнение кадастровых работ</t>
  </si>
  <si>
    <t>Выполнено на 12,9%</t>
  </si>
  <si>
    <t>Выполнено на 4,8%</t>
  </si>
  <si>
    <t>Выполнено на 14,2%</t>
  </si>
  <si>
    <t>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</si>
  <si>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</si>
  <si>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Выполнено на 19,6%</t>
  </si>
  <si>
    <t>Выполнено на 19%</t>
  </si>
  <si>
    <t>Выполнено на 17,6%</t>
  </si>
  <si>
    <t>Выполнено на 14%</t>
  </si>
  <si>
    <t>Обеспечение развития транспортной инфраструктуры и безопасности населения на объектах</t>
  </si>
  <si>
    <t>Мероприятие в рамках ГП МО - Капитальный ремонт и ремонт автомобильных дорог общего пользования местного значения</t>
  </si>
  <si>
    <t>Мероприятие, не включенное в ГП МО - Капитальный ремонт и ремонт автомобильных дорог общего пользования местного значения</t>
  </si>
  <si>
    <t>Мероприятие в рамках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госудрственных и муниципальных услуг</t>
  </si>
  <si>
    <t>Выполнено на 8,6%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</si>
  <si>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 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 компьютерных атак, средств автоматизации деятельности по защите информации,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</si>
  <si>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Выполнено на 11,3%</t>
  </si>
  <si>
    <t>Выполнено на 13%</t>
  </si>
  <si>
    <t>Содержание общественных пространств (за исключением парков культуры и отдыха)</t>
  </si>
  <si>
    <t>Установка шкафов управления наружным освещением</t>
  </si>
  <si>
    <t>Мероприятие 1.27.</t>
  </si>
  <si>
    <t>Мероприятие 1.28.</t>
  </si>
  <si>
    <t>Мероприятие 1.29.</t>
  </si>
  <si>
    <t>Модернизация асфальтовых и иных покрытий с дополнительным благоустройством на дворовых территориях</t>
  </si>
  <si>
    <t>Мероприятие 1.30.</t>
  </si>
  <si>
    <t>Строительство (реконструкция), капитальный ремонт объектов образования</t>
  </si>
  <si>
    <t>Основное мероприятие 6.</t>
  </si>
  <si>
    <t>Капитальный ремонт объектов дошкольного образования</t>
  </si>
  <si>
    <t>Строительство (реконструкция), капитальный ремонт объектов физической культуры и спорта</t>
  </si>
  <si>
    <t>Выполнено на 34%</t>
  </si>
  <si>
    <t>Выполнено на 26,6%</t>
  </si>
  <si>
    <t>Выполнено на 26,8%</t>
  </si>
  <si>
    <t>Модернизация (развитие) материально-технической базы, проведение текущего ремонта муниципальных музеев Московской области</t>
  </si>
  <si>
    <t>Выполнено на 24,5%</t>
  </si>
  <si>
    <t>Выполнено на 24,6%</t>
  </si>
  <si>
    <t>Организация библиотечного обслуживания населения, комплектование и обеспечение сохранности библиотечных фондов библиотек муниципального образования</t>
  </si>
  <si>
    <t>Выполнено на 42,2%</t>
  </si>
  <si>
    <t>Модернизация (развитие) материально-технической базы, проведение текущего ремонта муниципальных библиотек Московской области</t>
  </si>
  <si>
    <t>Выполнено на 23,4%</t>
  </si>
  <si>
    <t>Выполнено на 23,2%</t>
  </si>
  <si>
    <t>Модернизация (развитие) материально-технической базы, проведение текущего ремонта муниципальных театрально-концертных и культурно-досуговых учреждений</t>
  </si>
  <si>
    <t>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</si>
  <si>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Выполнено на 20,4%</t>
  </si>
  <si>
    <t>Выполнено на 23,3%</t>
  </si>
  <si>
    <t>Выполнено на 2,8%</t>
  </si>
  <si>
    <t>Финансовое обеспечение выплат преподавателям в области музыкального искусства организаций дополнительного образования сферы культуры</t>
  </si>
  <si>
    <t>Сохранение достигнутого уровня заработной платы педагогических работников организаций дополнительного образования сферы культуры</t>
  </si>
  <si>
    <t>Мероприятие A1.2.</t>
  </si>
  <si>
    <t>Приобретение музыкальных инструментов для муниципальных организаций дополнительного образования в сфере культуры</t>
  </si>
  <si>
    <t>Основное мероприятие Я5.</t>
  </si>
  <si>
    <t>Семейные ценности и инфраструктура культуры</t>
  </si>
  <si>
    <t>Выполнено на 21,8%</t>
  </si>
  <si>
    <t>Выполнено на 15,7%</t>
  </si>
  <si>
    <t>Выполнено на 15,8%</t>
  </si>
  <si>
    <t>Выполнено на 15,4%</t>
  </si>
  <si>
    <t>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</si>
  <si>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29%</t>
  </si>
  <si>
    <t>Выплата пособия и ежемесячных выплат педагогическим работникам муниципальных дошкольных и общеобразовательных организаций – молодым работникам и специалистам</t>
  </si>
  <si>
    <t>Выполнено на 10,9%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</si>
  <si>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</si>
  <si>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Выполнено на 18,2%</t>
  </si>
  <si>
    <t>Выполнено на 69,6%</t>
  </si>
  <si>
    <t>Обеспечение стимулирующих выплат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</si>
  <si>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>Выполнено на 32,6%</t>
  </si>
  <si>
    <t>Обеспечение выплат ежемесячных доплат за напряженный труд работникам муниципальных дошкольных образовательных организаций, муниципальных общеобразовательных организаций</t>
  </si>
  <si>
    <t>Организация питания обучающихся в муниципальных общеобразовательных организациях в Московской области</t>
  </si>
  <si>
    <t>Выполнено на 14,8%</t>
  </si>
  <si>
    <t>Выполнено на 15,6%</t>
  </si>
  <si>
    <t>Мероприятие 2.18.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</si>
  <si>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</si>
  <si>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Выполнено на 33,3%</t>
  </si>
  <si>
    <t>Выполнено на 3,8%</t>
  </si>
  <si>
    <t>Основное мероприятие Ю4.</t>
  </si>
  <si>
    <t>Все лучшее детям</t>
  </si>
  <si>
    <t>Мероприятие Ю4.1.</t>
  </si>
  <si>
    <t>Оснащение предметных кабинетов общеобразовательных организаций средствами обучения и воспитания</t>
  </si>
  <si>
    <t>Основное мероприятие Ю6.</t>
  </si>
  <si>
    <t>Педагоги и наставники</t>
  </si>
  <si>
    <t>Мероприятие Ю6.2.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</si>
  <si>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</si>
  <si>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Выполнено на 18,5%</t>
  </si>
  <si>
    <t>Мероприятие Ю6.4.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</si>
  <si>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</si>
  <si>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Выполнено на 25,1%</t>
  </si>
  <si>
    <t>Мероприятие Ю6.7.</t>
  </si>
  <si>
    <t>Выполнено на 18,1%</t>
  </si>
  <si>
    <t>Выполнено на 19,1%</t>
  </si>
  <si>
    <t>Мероприятие 2.7.</t>
  </si>
  <si>
    <t>Сохранение достигнутого уровня заработной платы педагогических работников организаций дополнительного образования сферы образования</t>
  </si>
  <si>
    <t>Обеспечение развития инновационной инфраструктуры общего образования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</si>
  <si>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</si>
  <si>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Выполнено на 14,3%</t>
  </si>
  <si>
    <t>Выполнено на 17%</t>
  </si>
  <si>
    <t>Выполнено на 10%</t>
  </si>
  <si>
    <t>Выполнено на 1,5%</t>
  </si>
  <si>
    <t>Выполнено на 15,9%</t>
  </si>
  <si>
    <t>Обеспечение условий для развития на территории муниципального образования физической культуры, школьного спорта и массового спорта</t>
  </si>
  <si>
    <t>Выполнено на 14,5%</t>
  </si>
  <si>
    <t>Создание условий для занятий физической культурой и спортом</t>
  </si>
  <si>
    <t>Устройство универсальных спортивных площадок</t>
  </si>
  <si>
    <t>Выполнено на 7%</t>
  </si>
  <si>
    <t>Выполнено на 20,8%</t>
  </si>
  <si>
    <t>Выполнено на 19,7%</t>
  </si>
  <si>
    <t>Сохранение достигнутого уровня заработной платы отдельных категорий работников учреждений физической культуры и спорта</t>
  </si>
  <si>
    <t>Выполнено на 84,8%</t>
  </si>
  <si>
    <t>Проведение экологических мероприятий, выставок, семинаров, в том числе "Дней защиты от экологической опасности"</t>
  </si>
  <si>
    <t>Выполнено на 11,9%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</si>
  <si>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</si>
  <si>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терроризма, экстремизма</t>
  </si>
  <si>
    <t>Выполнено на 15,5%</t>
  </si>
  <si>
    <t>Выполнено на 35,6%</t>
  </si>
  <si>
    <t>Выполнено на 36%</t>
  </si>
  <si>
    <t>Выполнено на 88,3%</t>
  </si>
  <si>
    <t>Выполнено на 9,2%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</si>
  <si>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площадках, социальных объектах, контейнерных площадках</t>
  </si>
  <si>
    <t>Проведение работ по установке видеокамер на подъездах многоквартирных домов и подключению их к системе "Безопасный регион" (в т.ч. в рамках муниципальных контрактов на оказание услуг по предоставлению видеоизображений для системы "Безопасный регион")</t>
  </si>
  <si>
    <t>Выполнено на 0,04%</t>
  </si>
  <si>
    <t>Выполнено на 20,7%</t>
  </si>
  <si>
    <t>Мероприятие 4.7.</t>
  </si>
  <si>
    <t>Оказание услуг по предоставлению видеоизображения для системы "Безопасный регион" с видеокамер исполнителя, установленных на входных группах в подъезды многоквартирных домов</t>
  </si>
  <si>
    <t>Организация и проведение на территории муниципального образования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</si>
  <si>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Выполнено на 18,6%</t>
  </si>
  <si>
    <t>Выполнено на 11,7%</t>
  </si>
  <si>
    <t>Мероприятие 7.4.</t>
  </si>
  <si>
    <t>Расходы на обеспечение деятельности (оказание услуг) в сфере похоронного дела</t>
  </si>
  <si>
    <t>Выполнено на 3,5%</t>
  </si>
  <si>
    <t>Выполнено на 51,2%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</si>
  <si>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</t>
  </si>
  <si>
    <t>Реализация мероприятий по улучшению жилищных условий многодетных семей</t>
  </si>
  <si>
    <t>Выполнено на 57%</t>
  </si>
  <si>
    <t>Выполнено на 69,3%</t>
  </si>
  <si>
    <t>Реализация мероприятий по строительству и реконструкции объектов теплоснабжения муниципальной собственности</t>
  </si>
  <si>
    <t>Выполнено на 39,2%</t>
  </si>
  <si>
    <t>Организация в границах муниципального образования теплоснабжения населения</t>
  </si>
  <si>
    <t>Выполнено на 29,4%</t>
  </si>
  <si>
    <t>Реализация мероприятий по строительству и реконструкции сетей теплоснабжения муниципальной собственности</t>
  </si>
  <si>
    <t>Выполнено на 48,4%</t>
  </si>
  <si>
    <t>Реализация мероприятий по капитальному ремонту сетей теплоснабжения на территории муниципальных образований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</si>
  <si>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муниципальных образований</t>
  </si>
  <si>
    <t>Утверждение программ комплексного развития систем коммунальной инфраструктуры муниципальных образований</t>
  </si>
  <si>
    <t>Организация работ по поддержке и развитию промышленного потенциала на территории муниципальных образований Московской области</t>
  </si>
  <si>
    <t>Выполнено на 16,5%</t>
  </si>
  <si>
    <t>Расходы, связанные с владением, пользованием и распоряжением имуществом, находящимся в муниципальной собственности муниципального образования</t>
  </si>
  <si>
    <t>Выполнено на 5,5%</t>
  </si>
  <si>
    <t>Выполнено на 5,2%</t>
  </si>
  <si>
    <t>Разработка проекта бюджета и исполнение бюджета муниципального образования</t>
  </si>
  <si>
    <t>Выполнено на 21,5%</t>
  </si>
  <si>
    <t>Взносы в общественные организации</t>
  </si>
  <si>
    <t>Выполнено на 44,6%</t>
  </si>
  <si>
    <t>Субсидии из бюджета муниципального образования Московской области бюджетам других муниципальных образований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</si>
  <si>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Развитие системы информирования населения о деятельности органов местного самоуправления муниципальных образований Московской области, создание доступной современной медиасреды</t>
  </si>
  <si>
    <t>Выполнено на 17,8%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</si>
  <si>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смс информирования</t>
  </si>
  <si>
    <t>Выполнено на 11,1%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</si>
  <si>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</t>
  </si>
  <si>
    <t>Выполнено на 64,4%</t>
  </si>
  <si>
    <t>Выполнено на 48,9%</t>
  </si>
  <si>
    <t>Выполнено на 14,6%</t>
  </si>
  <si>
    <t>Выполнено на 41,2%</t>
  </si>
  <si>
    <t>Проведение мероприятий,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</si>
  <si>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Выполнено на 12%</t>
  </si>
  <si>
    <t>Организация и проведение мероприятий по укреплению единства российской нации и этнокультурному развитию народов России</t>
  </si>
  <si>
    <t>Развитие добровольчества (волонтерства) в муниципальном образовании Московской области</t>
  </si>
  <si>
    <t>Выполнено на 9,8%</t>
  </si>
  <si>
    <t>Содержание автомобильных дорог местного значения</t>
  </si>
  <si>
    <t>Содержание автомобильных дорог местного значения в границах муниципального образования, в том числе обеспечение функционирования парковок (парковочных мест)</t>
  </si>
  <si>
    <t>Cофинансирование работ по капитальному ремонту автомобильных дорог общего пользования местного значения</t>
  </si>
  <si>
    <t>Мероприятие 4.17.</t>
  </si>
  <si>
    <t>Финансирование работ по капитальному ремонту автомобильных дорог общего пользования местного значения (дополнительные расходы на объекты, включенные в ГП МО)</t>
  </si>
  <si>
    <t>Мероприятие 4.18.</t>
  </si>
  <si>
    <t>Финансирование работ по капитальному ремонту и ремонту автомобильных дорог общего пользования местного значения</t>
  </si>
  <si>
    <t>Выполнено на 29,5%</t>
  </si>
  <si>
    <t>Безопасность дорожного движения</t>
  </si>
  <si>
    <t>Обеспечение безопасного поведения на дорогах</t>
  </si>
  <si>
    <t>Совершенствование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</t>
  </si>
  <si>
    <t>Техническая поддержка и обеспечение работоспособности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</si>
  <si>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Выполнено на 8,5%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</si>
  <si>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 за счет средств местного бюджета</t>
  </si>
  <si>
    <t>Выполнено на 11,6%</t>
  </si>
  <si>
    <t>Обновление и техническое обслуживание (ремонт) средств (программного обеспечения и оборудования), приобретенных для реализации мероприятий в сфере цифровой образовательной среды</t>
  </si>
  <si>
    <t>Выполнено на 13,8%</t>
  </si>
  <si>
    <t>Разработка Генерального плана развития муниципального образования</t>
  </si>
  <si>
    <t>Обеспечение разработки и внесение изменений в нормативы градостроительного проектирования муниципального образования</t>
  </si>
  <si>
    <t>Разработка и внесение изменений в нормативы градостроительного проектирования муниципального образования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</si>
  <si>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муниципального образования</t>
  </si>
  <si>
    <t>Реализация политики пространственного развития муниципального образования</t>
  </si>
  <si>
    <t>Выполнено на 85,6%</t>
  </si>
  <si>
    <t>Обеспечение подготовки документации по планировке территории в соответствии с документами территориального планирования Московской области, документами территориального планирования муниципального образования Московской области</t>
  </si>
  <si>
    <t>Обеспечение мер по ликвидации самовольных, недостроенных и аварийных объектов на территории муниципального образования</t>
  </si>
  <si>
    <t>Ликвидация самовольных, недостроенных и аварийных объектов на территории муниципального образования</t>
  </si>
  <si>
    <t>Выполнено на 74,8%</t>
  </si>
  <si>
    <t>Выполнено на 0,6%</t>
  </si>
  <si>
    <t>Основное мероприятие 0.</t>
  </si>
  <si>
    <t>Мероприятие И4.1.</t>
  </si>
  <si>
    <t>Реализация программ формирования современной городской среды в части благоустройства общественных территорий</t>
  </si>
  <si>
    <t>Мероприятие И4.3.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</si>
  <si>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</si>
  <si>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Мероприятие И4.5.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</si>
  <si>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</t>
  </si>
  <si>
    <t>Выполнено на 2,6%</t>
  </si>
  <si>
    <t>Устройство систем наружного освещения в рамках реализации проекта "Светлый город"</t>
  </si>
  <si>
    <t>Благоустройство общественных территорий муниципальных образований Московской области, площадью более 0,5 га (за исключением мероприятий по содержанию территорий)</t>
  </si>
  <si>
    <t>Выполнено на 11%</t>
  </si>
  <si>
    <t>Устройство и модернизация контейнерных площадок</t>
  </si>
  <si>
    <t>Благоустройство дворовых территорий</t>
  </si>
  <si>
    <t>Выполнено на 19,2%</t>
  </si>
  <si>
    <t>Ликвидация несанкционированных навалов мусора</t>
  </si>
  <si>
    <t>Мероприятие 1.32.</t>
  </si>
  <si>
    <t>Ямочный ремонт асфальтового покрытия дворовых территорий (картами свыше 25 кв. м)</t>
  </si>
  <si>
    <t>Мероприятие 1.33.</t>
  </si>
  <si>
    <t>Создание и ремонт пешеходных коммуникаций на дворовых территориях и общественных пространствах</t>
  </si>
  <si>
    <t>Мероприятие 1.34.</t>
  </si>
  <si>
    <t>Замена и модернизация детских игровых площадок (Демонтаж, освещение, видеонаблюдение)</t>
  </si>
  <si>
    <t>Мероприятие 1.35.</t>
  </si>
  <si>
    <t>Замена и модернизация детских игровых площадок (Установка ДИП)</t>
  </si>
  <si>
    <t>Мероприятие 1.39.</t>
  </si>
  <si>
    <t>Модернизация детских игровых площадок, установленных ранее с привлечением средств бюджета Московской области (Установка ДИП)</t>
  </si>
  <si>
    <t>Мероприятие 1.40.</t>
  </si>
  <si>
    <t>Модернизация детских игровых площадок, установленных ранее с привлечением средств бюджета Московской области (Демонтаж, освещение, видеонаблюдение)</t>
  </si>
  <si>
    <t>Ремонт подъездов в многоквартирных домах</t>
  </si>
  <si>
    <t>Основное мероприятие И4.</t>
  </si>
  <si>
    <t>Ремонт дворовых территорий</t>
  </si>
  <si>
    <t>Выполнено на 5,1%</t>
  </si>
  <si>
    <t>Выполнено на 55,8%</t>
  </si>
  <si>
    <t>Выполнено на 16,8%</t>
  </si>
  <si>
    <t>Выполнено на 6,6%</t>
  </si>
  <si>
    <t>ОПЕРАТИВНЫЙ ОТЧЕТ О ВЫПОЛНЕНИИ МУНИЦИПАЛЬНЫХ ПРОГРАММ ГОРОДСКОГО ОКРУГА РЕУТОВ ЗА 1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</si>
</sst>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63">
    <xf numFmtId="0" fontId="0" fillId="0" borderId="0" xfId="0"/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right" wrapText="1"/>
    </xf>
    <xf numFmtId="4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8" fillId="2" borderId="35" xfId="0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2" borderId="6" xfId="0" applyNumberFormat="1" applyFont="1" applyFill="1" applyBorder="1" applyAlignment="1" applyProtection="1">
      <alignment horizontal="center" vertical="top" wrapText="1"/>
      <protection locked="0"/>
    </xf>
    <xf numFmtId="0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2" borderId="7" xfId="0" applyNumberFormat="1" applyFont="1" applyFill="1" applyBorder="1" applyAlignment="1" applyProtection="1">
      <alignment horizontal="center" vertical="top" wrapText="1"/>
      <protection locked="0"/>
    </xf>
    <xf numFmtId="0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14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top" wrapText="1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8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E0FFC1"/>
      <color rgb="FFEAFFD5"/>
      <color rgb="FFFEE8FB"/>
      <color rgb="FFFDDBF8"/>
      <color rgb="FF99FF33"/>
      <color rgb="FFFDE0C3"/>
      <color rgb="FFC5E5CD"/>
      <color rgb="FFD6FEEE"/>
      <color rgb="FFF0F5FE"/>
      <color rgb="FFC5E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1"/>
  <sheetViews>
    <sheetView tabSelected="1" topLeftCell="A436" zoomScale="90" zoomScaleNormal="90" workbookViewId="0">
      <selection activeCell="J16" sqref="J16"/>
    </sheetView>
  </sheetViews>
  <sheetFormatPr defaultColWidth="8.85546875" defaultRowHeight="22.5" customHeight="1" x14ac:dyDescent="0.2"/>
  <cols>
    <col min="1" max="1" width="5.28515625" style="15" customWidth="1"/>
    <col min="2" max="2" width="22.42578125" style="15" customWidth="1"/>
    <col min="3" max="3" width="26.85546875" style="14" customWidth="1"/>
    <col min="4" max="4" width="89.42578125" style="14" customWidth="1"/>
    <col min="5" max="6" width="17.28515625" style="17" customWidth="1"/>
    <col min="7" max="7" width="32.5703125" style="18" customWidth="1"/>
    <col min="8" max="8" width="17.28515625" style="17" customWidth="1"/>
    <col min="9" max="16384" width="8.85546875" style="12"/>
  </cols>
  <sheetData>
    <row r="1" spans="1:8" ht="8.25" customHeight="1" x14ac:dyDescent="0.2">
      <c r="A1" s="46" t="s">
        <v>682</v>
      </c>
      <c r="B1" s="47"/>
      <c r="C1" s="47"/>
      <c r="D1" s="47"/>
      <c r="E1" s="47"/>
      <c r="F1" s="47"/>
      <c r="G1" s="47"/>
      <c r="H1" s="48"/>
    </row>
    <row r="2" spans="1:8" ht="9.75" customHeight="1" x14ac:dyDescent="0.2">
      <c r="A2" s="49"/>
      <c r="B2" s="50"/>
      <c r="C2" s="50"/>
      <c r="D2" s="50"/>
      <c r="E2" s="50"/>
      <c r="F2" s="50"/>
      <c r="G2" s="50"/>
      <c r="H2" s="51"/>
    </row>
    <row r="3" spans="1:8" ht="74.25" customHeight="1" x14ac:dyDescent="0.2">
      <c r="A3" s="8" t="s">
        <v>0</v>
      </c>
      <c r="B3" s="8" t="s">
        <v>1</v>
      </c>
      <c r="C3" s="7" t="s">
        <v>24</v>
      </c>
      <c r="D3" s="7" t="s">
        <v>2</v>
      </c>
      <c r="E3" s="6" t="s">
        <v>26</v>
      </c>
      <c r="F3" s="6" t="s">
        <v>25</v>
      </c>
      <c r="G3" s="9" t="s">
        <v>3</v>
      </c>
      <c r="H3" s="6" t="s">
        <v>4</v>
      </c>
    </row>
    <row r="4" spans="1:8" ht="13.5" customHeight="1" thickBot="1" x14ac:dyDescent="0.25">
      <c r="A4" s="10">
        <v>1</v>
      </c>
      <c r="B4" s="11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8" ht="22.5" customHeight="1" x14ac:dyDescent="0.2">
      <c r="A5" s="23">
        <v>1</v>
      </c>
      <c r="B5" s="25" t="s">
        <v>5</v>
      </c>
      <c r="C5" s="13" t="s">
        <v>42</v>
      </c>
      <c r="D5" s="13" t="s">
        <v>191</v>
      </c>
      <c r="E5" s="3">
        <f>E6</f>
        <v>0</v>
      </c>
      <c r="F5" s="3">
        <f>F6</f>
        <v>0</v>
      </c>
      <c r="G5" s="3" t="s">
        <v>29</v>
      </c>
      <c r="H5" s="58">
        <f>H6</f>
        <v>0</v>
      </c>
    </row>
    <row r="6" spans="1:8" ht="22.5" customHeight="1" x14ac:dyDescent="0.2">
      <c r="A6" s="24"/>
      <c r="B6" s="26"/>
      <c r="C6" s="4" t="s">
        <v>27</v>
      </c>
      <c r="D6" s="4" t="s">
        <v>192</v>
      </c>
      <c r="E6" s="5">
        <f>0</f>
        <v>0</v>
      </c>
      <c r="F6" s="5">
        <f>0</f>
        <v>0</v>
      </c>
      <c r="G6" s="5" t="s">
        <v>29</v>
      </c>
      <c r="H6" s="59">
        <f>0</f>
        <v>0</v>
      </c>
    </row>
    <row r="7" spans="1:8" ht="22.5" customHeight="1" x14ac:dyDescent="0.2">
      <c r="A7" s="24"/>
      <c r="B7" s="26"/>
      <c r="C7" s="13" t="s">
        <v>28</v>
      </c>
      <c r="D7" s="13" t="s">
        <v>193</v>
      </c>
      <c r="E7" s="3">
        <f>E8</f>
        <v>2500</v>
      </c>
      <c r="F7" s="3">
        <f>F8</f>
        <v>340</v>
      </c>
      <c r="G7" s="3" t="s">
        <v>313</v>
      </c>
      <c r="H7" s="60">
        <f>H8</f>
        <v>340</v>
      </c>
    </row>
    <row r="8" spans="1:8" ht="22.5" customHeight="1" x14ac:dyDescent="0.2">
      <c r="A8" s="24"/>
      <c r="B8" s="26"/>
      <c r="C8" s="4" t="s">
        <v>27</v>
      </c>
      <c r="D8" s="4" t="s">
        <v>194</v>
      </c>
      <c r="E8" s="5">
        <f>E9+E10+E11+E12+E13</f>
        <v>2500</v>
      </c>
      <c r="F8" s="5">
        <f>F9+F10+F11+F12+F13</f>
        <v>340</v>
      </c>
      <c r="G8" s="5" t="s">
        <v>313</v>
      </c>
      <c r="H8" s="59">
        <f>H9+H10+H11+H12+H13</f>
        <v>340</v>
      </c>
    </row>
    <row r="9" spans="1:8" ht="22.5" customHeight="1" x14ac:dyDescent="0.2">
      <c r="A9" s="24"/>
      <c r="B9" s="26"/>
      <c r="C9" s="4" t="s">
        <v>86</v>
      </c>
      <c r="D9" s="4" t="s">
        <v>195</v>
      </c>
      <c r="E9" s="5">
        <f>1000</f>
        <v>1000</v>
      </c>
      <c r="F9" s="5">
        <f>340</f>
        <v>340</v>
      </c>
      <c r="G9" s="5" t="s">
        <v>485</v>
      </c>
      <c r="H9" s="59">
        <f>340</f>
        <v>340</v>
      </c>
    </row>
    <row r="10" spans="1:8" ht="22.5" customHeight="1" x14ac:dyDescent="0.2">
      <c r="A10" s="24"/>
      <c r="B10" s="26"/>
      <c r="C10" s="4" t="s">
        <v>98</v>
      </c>
      <c r="D10" s="4" t="s">
        <v>197</v>
      </c>
      <c r="E10" s="5">
        <f>1000</f>
        <v>1000</v>
      </c>
      <c r="F10" s="5">
        <f>0</f>
        <v>0</v>
      </c>
      <c r="G10" s="5" t="s">
        <v>216</v>
      </c>
      <c r="H10" s="59">
        <f>0</f>
        <v>0</v>
      </c>
    </row>
    <row r="11" spans="1:8" ht="22.5" customHeight="1" x14ac:dyDescent="0.2">
      <c r="A11" s="24"/>
      <c r="B11" s="26"/>
      <c r="C11" s="4" t="s">
        <v>142</v>
      </c>
      <c r="D11" s="4" t="s">
        <v>198</v>
      </c>
      <c r="E11" s="5">
        <f>0</f>
        <v>0</v>
      </c>
      <c r="F11" s="5">
        <f>0</f>
        <v>0</v>
      </c>
      <c r="G11" s="5" t="s">
        <v>29</v>
      </c>
      <c r="H11" s="59">
        <f>0</f>
        <v>0</v>
      </c>
    </row>
    <row r="12" spans="1:8" ht="22.5" customHeight="1" x14ac:dyDescent="0.2">
      <c r="A12" s="24"/>
      <c r="B12" s="26"/>
      <c r="C12" s="4" t="s">
        <v>183</v>
      </c>
      <c r="D12" s="4" t="s">
        <v>199</v>
      </c>
      <c r="E12" s="5">
        <f>500</f>
        <v>500</v>
      </c>
      <c r="F12" s="5">
        <f>0</f>
        <v>0</v>
      </c>
      <c r="G12" s="5" t="s">
        <v>216</v>
      </c>
      <c r="H12" s="59">
        <f>0</f>
        <v>0</v>
      </c>
    </row>
    <row r="13" spans="1:8" ht="22.5" customHeight="1" x14ac:dyDescent="0.2">
      <c r="A13" s="24"/>
      <c r="B13" s="26"/>
      <c r="C13" s="4" t="s">
        <v>201</v>
      </c>
      <c r="D13" s="4" t="s">
        <v>202</v>
      </c>
      <c r="E13" s="5">
        <f>0</f>
        <v>0</v>
      </c>
      <c r="F13" s="5">
        <f>0</f>
        <v>0</v>
      </c>
      <c r="G13" s="5" t="s">
        <v>29</v>
      </c>
      <c r="H13" s="59">
        <f>0</f>
        <v>0</v>
      </c>
    </row>
    <row r="14" spans="1:8" ht="22.5" customHeight="1" thickBot="1" x14ac:dyDescent="0.25">
      <c r="A14" s="27" t="s">
        <v>6</v>
      </c>
      <c r="B14" s="28"/>
      <c r="C14" s="28"/>
      <c r="D14" s="29"/>
      <c r="E14" s="53">
        <f>E5+E7</f>
        <v>2500</v>
      </c>
      <c r="F14" s="53">
        <f>F5+F7</f>
        <v>340</v>
      </c>
      <c r="G14" s="54" t="s">
        <v>313</v>
      </c>
      <c r="H14" s="61">
        <f>H5+H7</f>
        <v>340</v>
      </c>
    </row>
    <row r="15" spans="1:8" ht="22.5" customHeight="1" x14ac:dyDescent="0.2">
      <c r="A15" s="30">
        <v>2</v>
      </c>
      <c r="B15" s="31" t="s">
        <v>7</v>
      </c>
      <c r="C15" s="13" t="s">
        <v>54</v>
      </c>
      <c r="D15" s="13" t="s">
        <v>203</v>
      </c>
      <c r="E15" s="3">
        <f>E16+E19</f>
        <v>12836.79</v>
      </c>
      <c r="F15" s="3">
        <f>F16+F19</f>
        <v>3412</v>
      </c>
      <c r="G15" s="3" t="s">
        <v>486</v>
      </c>
      <c r="H15" s="58">
        <f>H16+H19</f>
        <v>3412</v>
      </c>
    </row>
    <row r="16" spans="1:8" ht="22.5" customHeight="1" x14ac:dyDescent="0.2">
      <c r="A16" s="30"/>
      <c r="B16" s="31"/>
      <c r="C16" s="4" t="s">
        <v>30</v>
      </c>
      <c r="D16" s="4" t="s">
        <v>204</v>
      </c>
      <c r="E16" s="5">
        <f>E17+E18</f>
        <v>12660.19</v>
      </c>
      <c r="F16" s="5">
        <f>F17+F18</f>
        <v>3392</v>
      </c>
      <c r="G16" s="5" t="s">
        <v>487</v>
      </c>
      <c r="H16" s="59">
        <f>H17+H18</f>
        <v>3392</v>
      </c>
    </row>
    <row r="17" spans="1:8" ht="22.5" customHeight="1" x14ac:dyDescent="0.2">
      <c r="A17" s="30"/>
      <c r="B17" s="31"/>
      <c r="C17" s="4" t="s">
        <v>57</v>
      </c>
      <c r="D17" s="4" t="s">
        <v>206</v>
      </c>
      <c r="E17" s="5">
        <f>12660.19</f>
        <v>12660.19</v>
      </c>
      <c r="F17" s="5">
        <f>3392</f>
        <v>3392</v>
      </c>
      <c r="G17" s="5" t="s">
        <v>487</v>
      </c>
      <c r="H17" s="59">
        <f>3392</f>
        <v>3392</v>
      </c>
    </row>
    <row r="18" spans="1:8" ht="22.5" customHeight="1" x14ac:dyDescent="0.2">
      <c r="A18" s="30"/>
      <c r="B18" s="31"/>
      <c r="C18" s="4" t="s">
        <v>46</v>
      </c>
      <c r="D18" s="4" t="s">
        <v>207</v>
      </c>
      <c r="E18" s="5">
        <f>0</f>
        <v>0</v>
      </c>
      <c r="F18" s="5">
        <f>0</f>
        <v>0</v>
      </c>
      <c r="G18" s="5" t="s">
        <v>29</v>
      </c>
      <c r="H18" s="59">
        <f>0</f>
        <v>0</v>
      </c>
    </row>
    <row r="19" spans="1:8" ht="22.5" customHeight="1" x14ac:dyDescent="0.2">
      <c r="A19" s="30"/>
      <c r="B19" s="31"/>
      <c r="C19" s="4" t="s">
        <v>68</v>
      </c>
      <c r="D19" s="4" t="s">
        <v>488</v>
      </c>
      <c r="E19" s="5">
        <f>E20</f>
        <v>176.6</v>
      </c>
      <c r="F19" s="5">
        <f>F20</f>
        <v>20</v>
      </c>
      <c r="G19" s="5" t="s">
        <v>472</v>
      </c>
      <c r="H19" s="59">
        <f>H20</f>
        <v>20</v>
      </c>
    </row>
    <row r="20" spans="1:8" ht="22.5" customHeight="1" x14ac:dyDescent="0.2">
      <c r="A20" s="30"/>
      <c r="B20" s="31"/>
      <c r="C20" s="4" t="s">
        <v>209</v>
      </c>
      <c r="D20" s="4" t="s">
        <v>210</v>
      </c>
      <c r="E20" s="5">
        <f>176.6</f>
        <v>176.6</v>
      </c>
      <c r="F20" s="5">
        <f>20</f>
        <v>20</v>
      </c>
      <c r="G20" s="5" t="s">
        <v>472</v>
      </c>
      <c r="H20" s="59">
        <f>20</f>
        <v>20</v>
      </c>
    </row>
    <row r="21" spans="1:8" ht="22.5" customHeight="1" x14ac:dyDescent="0.2">
      <c r="A21" s="30"/>
      <c r="B21" s="31"/>
      <c r="C21" s="13" t="s">
        <v>31</v>
      </c>
      <c r="D21" s="13" t="s">
        <v>211</v>
      </c>
      <c r="E21" s="3">
        <f>E22+E27</f>
        <v>35222.519999999997</v>
      </c>
      <c r="F21" s="3">
        <f>F22+F27</f>
        <v>8636.11</v>
      </c>
      <c r="G21" s="3" t="s">
        <v>489</v>
      </c>
      <c r="H21" s="60">
        <f>H22+H27</f>
        <v>8636.11</v>
      </c>
    </row>
    <row r="22" spans="1:8" ht="22.5" customHeight="1" x14ac:dyDescent="0.2">
      <c r="A22" s="30"/>
      <c r="B22" s="31"/>
      <c r="C22" s="4" t="s">
        <v>30</v>
      </c>
      <c r="D22" s="4" t="s">
        <v>213</v>
      </c>
      <c r="E22" s="5">
        <f>E23+E24+E25+E26</f>
        <v>34788.519999999997</v>
      </c>
      <c r="F22" s="5">
        <f>F23+F24+F25+F26</f>
        <v>8563.7800000000007</v>
      </c>
      <c r="G22" s="5" t="s">
        <v>490</v>
      </c>
      <c r="H22" s="59">
        <f>H23+H24+H25+H26</f>
        <v>8563.7800000000007</v>
      </c>
    </row>
    <row r="23" spans="1:8" ht="22.5" customHeight="1" x14ac:dyDescent="0.2">
      <c r="A23" s="30"/>
      <c r="B23" s="31"/>
      <c r="C23" s="4" t="s">
        <v>57</v>
      </c>
      <c r="D23" s="4" t="s">
        <v>214</v>
      </c>
      <c r="E23" s="5">
        <f>33864.6</f>
        <v>33864.6</v>
      </c>
      <c r="F23" s="5">
        <f>8440</f>
        <v>8440</v>
      </c>
      <c r="G23" s="5" t="s">
        <v>333</v>
      </c>
      <c r="H23" s="59">
        <f>8440</f>
        <v>8440</v>
      </c>
    </row>
    <row r="24" spans="1:8" ht="22.5" customHeight="1" x14ac:dyDescent="0.2">
      <c r="A24" s="30"/>
      <c r="B24" s="31"/>
      <c r="C24" s="4" t="s">
        <v>58</v>
      </c>
      <c r="D24" s="4" t="s">
        <v>491</v>
      </c>
      <c r="E24" s="5">
        <f>293</f>
        <v>293</v>
      </c>
      <c r="F24" s="5">
        <f>123.78</f>
        <v>123.78</v>
      </c>
      <c r="G24" s="5" t="s">
        <v>492</v>
      </c>
      <c r="H24" s="59">
        <f>123.78</f>
        <v>123.78</v>
      </c>
    </row>
    <row r="25" spans="1:8" ht="22.5" customHeight="1" x14ac:dyDescent="0.2">
      <c r="A25" s="30"/>
      <c r="B25" s="31"/>
      <c r="C25" s="4" t="s">
        <v>45</v>
      </c>
      <c r="D25" s="4" t="s">
        <v>215</v>
      </c>
      <c r="E25" s="5">
        <f>123.66+279+228.26</f>
        <v>630.91999999999996</v>
      </c>
      <c r="F25" s="5">
        <f>0</f>
        <v>0</v>
      </c>
      <c r="G25" s="5" t="s">
        <v>216</v>
      </c>
      <c r="H25" s="59">
        <f>0</f>
        <v>0</v>
      </c>
    </row>
    <row r="26" spans="1:8" ht="22.5" customHeight="1" x14ac:dyDescent="0.2">
      <c r="A26" s="30"/>
      <c r="B26" s="31"/>
      <c r="C26" s="4" t="s">
        <v>46</v>
      </c>
      <c r="D26" s="4" t="s">
        <v>207</v>
      </c>
      <c r="E26" s="5">
        <f>0</f>
        <v>0</v>
      </c>
      <c r="F26" s="5">
        <f>0</f>
        <v>0</v>
      </c>
      <c r="G26" s="5" t="s">
        <v>29</v>
      </c>
      <c r="H26" s="59">
        <f>0</f>
        <v>0</v>
      </c>
    </row>
    <row r="27" spans="1:8" ht="22.5" customHeight="1" x14ac:dyDescent="0.2">
      <c r="A27" s="30"/>
      <c r="B27" s="31"/>
      <c r="C27" s="4" t="s">
        <v>27</v>
      </c>
      <c r="D27" s="4" t="s">
        <v>493</v>
      </c>
      <c r="E27" s="5">
        <f>E28</f>
        <v>434</v>
      </c>
      <c r="F27" s="5">
        <f>F28</f>
        <v>72.33</v>
      </c>
      <c r="G27" s="5" t="s">
        <v>208</v>
      </c>
      <c r="H27" s="59">
        <f>H28</f>
        <v>72.33</v>
      </c>
    </row>
    <row r="28" spans="1:8" ht="22.5" customHeight="1" x14ac:dyDescent="0.2">
      <c r="A28" s="30"/>
      <c r="B28" s="31"/>
      <c r="C28" s="4" t="s">
        <v>142</v>
      </c>
      <c r="D28" s="4" t="s">
        <v>217</v>
      </c>
      <c r="E28" s="5">
        <f>434</f>
        <v>434</v>
      </c>
      <c r="F28" s="5">
        <f>72.33</f>
        <v>72.33</v>
      </c>
      <c r="G28" s="5" t="s">
        <v>208</v>
      </c>
      <c r="H28" s="59">
        <f>72.33</f>
        <v>72.33</v>
      </c>
    </row>
    <row r="29" spans="1:8" ht="22.5" customHeight="1" x14ac:dyDescent="0.2">
      <c r="A29" s="30"/>
      <c r="B29" s="31"/>
      <c r="C29" s="13" t="s">
        <v>97</v>
      </c>
      <c r="D29" s="13" t="s">
        <v>218</v>
      </c>
      <c r="E29" s="3">
        <f>E30+E33+E35</f>
        <v>119372.2</v>
      </c>
      <c r="F29" s="3">
        <f>F30+F33+F35</f>
        <v>27976.159999999996</v>
      </c>
      <c r="G29" s="3" t="s">
        <v>494</v>
      </c>
      <c r="H29" s="60">
        <f>H30+H33+H35</f>
        <v>27976.159999999996</v>
      </c>
    </row>
    <row r="30" spans="1:8" ht="22.5" customHeight="1" x14ac:dyDescent="0.2">
      <c r="A30" s="30"/>
      <c r="B30" s="31"/>
      <c r="C30" s="4" t="s">
        <v>73</v>
      </c>
      <c r="D30" s="4" t="s">
        <v>220</v>
      </c>
      <c r="E30" s="5">
        <f>E31+E32</f>
        <v>117013.86</v>
      </c>
      <c r="F30" s="5">
        <f>F31+F32</f>
        <v>27125.129999999997</v>
      </c>
      <c r="G30" s="5" t="s">
        <v>495</v>
      </c>
      <c r="H30" s="59">
        <f>H31+H32</f>
        <v>27125.129999999997</v>
      </c>
    </row>
    <row r="31" spans="1:8" ht="22.5" customHeight="1" x14ac:dyDescent="0.2">
      <c r="A31" s="30"/>
      <c r="B31" s="31"/>
      <c r="C31" s="4" t="s">
        <v>75</v>
      </c>
      <c r="D31" s="4" t="s">
        <v>221</v>
      </c>
      <c r="E31" s="5">
        <v>87003.86</v>
      </c>
      <c r="F31" s="5">
        <v>19666.46</v>
      </c>
      <c r="G31" s="5" t="s">
        <v>212</v>
      </c>
      <c r="H31" s="59">
        <v>19666.46</v>
      </c>
    </row>
    <row r="32" spans="1:8" ht="22.5" customHeight="1" x14ac:dyDescent="0.2">
      <c r="A32" s="30"/>
      <c r="B32" s="31"/>
      <c r="C32" s="4" t="s">
        <v>222</v>
      </c>
      <c r="D32" s="4" t="s">
        <v>223</v>
      </c>
      <c r="E32" s="5">
        <v>30010</v>
      </c>
      <c r="F32" s="5">
        <v>7458.67</v>
      </c>
      <c r="G32" s="5" t="s">
        <v>244</v>
      </c>
      <c r="H32" s="59">
        <v>7458.67</v>
      </c>
    </row>
    <row r="33" spans="1:8" ht="22.5" customHeight="1" x14ac:dyDescent="0.2">
      <c r="A33" s="30"/>
      <c r="B33" s="31"/>
      <c r="C33" s="4" t="s">
        <v>76</v>
      </c>
      <c r="D33" s="4" t="s">
        <v>496</v>
      </c>
      <c r="E33" s="5">
        <f>E34</f>
        <v>1726</v>
      </c>
      <c r="F33" s="5">
        <f>F34</f>
        <v>218.69</v>
      </c>
      <c r="G33" s="5" t="s">
        <v>352</v>
      </c>
      <c r="H33" s="59">
        <f>H34</f>
        <v>218.69</v>
      </c>
    </row>
    <row r="34" spans="1:8" ht="22.5" customHeight="1" x14ac:dyDescent="0.2">
      <c r="A34" s="30"/>
      <c r="B34" s="31"/>
      <c r="C34" s="4" t="s">
        <v>227</v>
      </c>
      <c r="D34" s="4" t="s">
        <v>228</v>
      </c>
      <c r="E34" s="5">
        <f>1726</f>
        <v>1726</v>
      </c>
      <c r="F34" s="5">
        <f>218.69</f>
        <v>218.69</v>
      </c>
      <c r="G34" s="5" t="s">
        <v>352</v>
      </c>
      <c r="H34" s="59">
        <f>218.69</f>
        <v>218.69</v>
      </c>
    </row>
    <row r="35" spans="1:8" ht="22.5" customHeight="1" x14ac:dyDescent="0.2">
      <c r="A35" s="30"/>
      <c r="B35" s="31"/>
      <c r="C35" s="4" t="s">
        <v>118</v>
      </c>
      <c r="D35" s="4" t="s">
        <v>229</v>
      </c>
      <c r="E35" s="5">
        <f>E36+E37</f>
        <v>632.34</v>
      </c>
      <c r="F35" s="5">
        <f>F36+F37</f>
        <v>632.34</v>
      </c>
      <c r="G35" s="5" t="s">
        <v>32</v>
      </c>
      <c r="H35" s="59">
        <f>H36+H37</f>
        <v>632.34</v>
      </c>
    </row>
    <row r="36" spans="1:8" ht="22.5" customHeight="1" x14ac:dyDescent="0.2">
      <c r="A36" s="30"/>
      <c r="B36" s="31"/>
      <c r="C36" s="4" t="s">
        <v>120</v>
      </c>
      <c r="D36" s="4" t="s">
        <v>207</v>
      </c>
      <c r="E36" s="5">
        <f>0</f>
        <v>0</v>
      </c>
      <c r="F36" s="5">
        <f>0</f>
        <v>0</v>
      </c>
      <c r="G36" s="5" t="s">
        <v>29</v>
      </c>
      <c r="H36" s="59">
        <f>0</f>
        <v>0</v>
      </c>
    </row>
    <row r="37" spans="1:8" ht="22.5" customHeight="1" x14ac:dyDescent="0.2">
      <c r="A37" s="30"/>
      <c r="B37" s="31"/>
      <c r="C37" s="4" t="s">
        <v>122</v>
      </c>
      <c r="D37" s="4" t="s">
        <v>497</v>
      </c>
      <c r="E37" s="5">
        <f>632.34</f>
        <v>632.34</v>
      </c>
      <c r="F37" s="5">
        <f>632.34</f>
        <v>632.34</v>
      </c>
      <c r="G37" s="5" t="s">
        <v>32</v>
      </c>
      <c r="H37" s="59">
        <f>632.34</f>
        <v>632.34</v>
      </c>
    </row>
    <row r="38" spans="1:8" ht="22.5" customHeight="1" x14ac:dyDescent="0.2">
      <c r="A38" s="30"/>
      <c r="B38" s="31"/>
      <c r="C38" s="13" t="s">
        <v>28</v>
      </c>
      <c r="D38" s="13" t="s">
        <v>230</v>
      </c>
      <c r="E38" s="3">
        <f>E39</f>
        <v>0</v>
      </c>
      <c r="F38" s="3">
        <f>F39</f>
        <v>0</v>
      </c>
      <c r="G38" s="3" t="s">
        <v>29</v>
      </c>
      <c r="H38" s="60">
        <f>H39</f>
        <v>0</v>
      </c>
    </row>
    <row r="39" spans="1:8" ht="22.5" customHeight="1" x14ac:dyDescent="0.2">
      <c r="A39" s="30"/>
      <c r="B39" s="31"/>
      <c r="C39" s="4" t="s">
        <v>30</v>
      </c>
      <c r="D39" s="4" t="s">
        <v>231</v>
      </c>
      <c r="E39" s="5">
        <f>0</f>
        <v>0</v>
      </c>
      <c r="F39" s="5">
        <f>0</f>
        <v>0</v>
      </c>
      <c r="G39" s="5" t="s">
        <v>29</v>
      </c>
      <c r="H39" s="59">
        <f>0</f>
        <v>0</v>
      </c>
    </row>
    <row r="40" spans="1:8" ht="22.5" customHeight="1" x14ac:dyDescent="0.2">
      <c r="A40" s="30"/>
      <c r="B40" s="31"/>
      <c r="C40" s="13" t="s">
        <v>135</v>
      </c>
      <c r="D40" s="13" t="s">
        <v>232</v>
      </c>
      <c r="E40" s="3">
        <f>E41+E43+E45+E49+E51</f>
        <v>159114.41000000003</v>
      </c>
      <c r="F40" s="3">
        <f>F41+F43+F45+F49+F51</f>
        <v>32526.94</v>
      </c>
      <c r="G40" s="3" t="s">
        <v>498</v>
      </c>
      <c r="H40" s="60">
        <f>H41+H43+H45+H49+H51</f>
        <v>32526.94</v>
      </c>
    </row>
    <row r="41" spans="1:8" ht="22.5" customHeight="1" x14ac:dyDescent="0.2">
      <c r="A41" s="30"/>
      <c r="B41" s="31"/>
      <c r="C41" s="4" t="s">
        <v>30</v>
      </c>
      <c r="D41" s="4" t="s">
        <v>233</v>
      </c>
      <c r="E41" s="5">
        <f>E42</f>
        <v>136434.95000000001</v>
      </c>
      <c r="F41" s="5">
        <f>F42</f>
        <v>31761.61</v>
      </c>
      <c r="G41" s="5" t="s">
        <v>499</v>
      </c>
      <c r="H41" s="59">
        <f>H42</f>
        <v>31761.61</v>
      </c>
    </row>
    <row r="42" spans="1:8" ht="22.5" customHeight="1" x14ac:dyDescent="0.2">
      <c r="A42" s="30"/>
      <c r="B42" s="31"/>
      <c r="C42" s="4" t="s">
        <v>57</v>
      </c>
      <c r="D42" s="4" t="s">
        <v>234</v>
      </c>
      <c r="E42" s="5">
        <f>136434.95</f>
        <v>136434.95000000001</v>
      </c>
      <c r="F42" s="5">
        <f>31761.61</f>
        <v>31761.61</v>
      </c>
      <c r="G42" s="5" t="s">
        <v>499</v>
      </c>
      <c r="H42" s="59">
        <f>31761.61</f>
        <v>31761.61</v>
      </c>
    </row>
    <row r="43" spans="1:8" ht="22.5" customHeight="1" x14ac:dyDescent="0.2">
      <c r="A43" s="30"/>
      <c r="B43" s="31"/>
      <c r="C43" s="4" t="s">
        <v>73</v>
      </c>
      <c r="D43" s="4" t="s">
        <v>235</v>
      </c>
      <c r="E43" s="5">
        <f>E44</f>
        <v>2962.14</v>
      </c>
      <c r="F43" s="5">
        <f>F44</f>
        <v>81.78</v>
      </c>
      <c r="G43" s="5" t="s">
        <v>500</v>
      </c>
      <c r="H43" s="59">
        <f>H44</f>
        <v>81.78</v>
      </c>
    </row>
    <row r="44" spans="1:8" ht="22.5" customHeight="1" x14ac:dyDescent="0.2">
      <c r="A44" s="30"/>
      <c r="B44" s="31"/>
      <c r="C44" s="4" t="s">
        <v>75</v>
      </c>
      <c r="D44" s="4" t="s">
        <v>236</v>
      </c>
      <c r="E44" s="5">
        <f>2962.14</f>
        <v>2962.14</v>
      </c>
      <c r="F44" s="5">
        <f>81.78</f>
        <v>81.78</v>
      </c>
      <c r="G44" s="5" t="s">
        <v>500</v>
      </c>
      <c r="H44" s="59">
        <f>81.78</f>
        <v>81.78</v>
      </c>
    </row>
    <row r="45" spans="1:8" ht="22.5" customHeight="1" x14ac:dyDescent="0.2">
      <c r="A45" s="30"/>
      <c r="B45" s="31"/>
      <c r="C45" s="4" t="s">
        <v>76</v>
      </c>
      <c r="D45" s="4" t="s">
        <v>237</v>
      </c>
      <c r="E45" s="5">
        <f>E46+E47+E48</f>
        <v>2812.32</v>
      </c>
      <c r="F45" s="5">
        <f>F46+F47+F48</f>
        <v>683.55</v>
      </c>
      <c r="G45" s="5" t="s">
        <v>205</v>
      </c>
      <c r="H45" s="59">
        <f>H46+H47+H48</f>
        <v>683.55</v>
      </c>
    </row>
    <row r="46" spans="1:8" ht="22.5" customHeight="1" x14ac:dyDescent="0.2">
      <c r="A46" s="30"/>
      <c r="B46" s="31"/>
      <c r="C46" s="4" t="s">
        <v>239</v>
      </c>
      <c r="D46" s="4" t="s">
        <v>240</v>
      </c>
      <c r="E46" s="5">
        <f>0</f>
        <v>0</v>
      </c>
      <c r="F46" s="5">
        <f>0</f>
        <v>0</v>
      </c>
      <c r="G46" s="5" t="s">
        <v>29</v>
      </c>
      <c r="H46" s="59">
        <f>0</f>
        <v>0</v>
      </c>
    </row>
    <row r="47" spans="1:8" ht="22.5" customHeight="1" x14ac:dyDescent="0.2">
      <c r="A47" s="30"/>
      <c r="B47" s="31"/>
      <c r="C47" s="4" t="s">
        <v>100</v>
      </c>
      <c r="D47" s="4" t="s">
        <v>501</v>
      </c>
      <c r="E47" s="5">
        <f>2812.32</f>
        <v>2812.32</v>
      </c>
      <c r="F47" s="5">
        <f>683.55</f>
        <v>683.55</v>
      </c>
      <c r="G47" s="5" t="s">
        <v>205</v>
      </c>
      <c r="H47" s="59">
        <f>683.55</f>
        <v>683.55</v>
      </c>
    </row>
    <row r="48" spans="1:8" ht="22.5" customHeight="1" x14ac:dyDescent="0.2">
      <c r="A48" s="30"/>
      <c r="B48" s="31"/>
      <c r="C48" s="4" t="s">
        <v>101</v>
      </c>
      <c r="D48" s="4" t="s">
        <v>502</v>
      </c>
      <c r="E48" s="5">
        <f>0</f>
        <v>0</v>
      </c>
      <c r="F48" s="5">
        <f>0</f>
        <v>0</v>
      </c>
      <c r="G48" s="5" t="s">
        <v>29</v>
      </c>
      <c r="H48" s="59">
        <f>0</f>
        <v>0</v>
      </c>
    </row>
    <row r="49" spans="1:8" ht="22.5" customHeight="1" x14ac:dyDescent="0.2">
      <c r="A49" s="30"/>
      <c r="B49" s="31"/>
      <c r="C49" s="4" t="s">
        <v>241</v>
      </c>
      <c r="D49" s="4" t="s">
        <v>242</v>
      </c>
      <c r="E49" s="5">
        <f>E50</f>
        <v>16905</v>
      </c>
      <c r="F49" s="5">
        <f>F50</f>
        <v>0</v>
      </c>
      <c r="G49" s="5" t="s">
        <v>216</v>
      </c>
      <c r="H49" s="59">
        <f>H50</f>
        <v>0</v>
      </c>
    </row>
    <row r="50" spans="1:8" ht="22.5" customHeight="1" x14ac:dyDescent="0.2">
      <c r="A50" s="30"/>
      <c r="B50" s="31"/>
      <c r="C50" s="4" t="s">
        <v>503</v>
      </c>
      <c r="D50" s="4" t="s">
        <v>504</v>
      </c>
      <c r="E50" s="5">
        <f>8452.5+8452.5</f>
        <v>16905</v>
      </c>
      <c r="F50" s="5">
        <f>0</f>
        <v>0</v>
      </c>
      <c r="G50" s="5" t="s">
        <v>216</v>
      </c>
      <c r="H50" s="59">
        <f>0</f>
        <v>0</v>
      </c>
    </row>
    <row r="51" spans="1:8" ht="22.5" customHeight="1" x14ac:dyDescent="0.2">
      <c r="A51" s="30"/>
      <c r="B51" s="31"/>
      <c r="C51" s="4" t="s">
        <v>505</v>
      </c>
      <c r="D51" s="4" t="s">
        <v>506</v>
      </c>
      <c r="E51" s="5">
        <f>0</f>
        <v>0</v>
      </c>
      <c r="F51" s="5">
        <f>0</f>
        <v>0</v>
      </c>
      <c r="G51" s="5" t="s">
        <v>29</v>
      </c>
      <c r="H51" s="59">
        <f>0</f>
        <v>0</v>
      </c>
    </row>
    <row r="52" spans="1:8" ht="22.5" customHeight="1" x14ac:dyDescent="0.2">
      <c r="A52" s="30"/>
      <c r="B52" s="31"/>
      <c r="C52" s="13" t="s">
        <v>243</v>
      </c>
      <c r="D52" s="13" t="s">
        <v>93</v>
      </c>
      <c r="E52" s="3">
        <f>E53</f>
        <v>17282.669999999998</v>
      </c>
      <c r="F52" s="3">
        <f>F53</f>
        <v>2461.6999999999998</v>
      </c>
      <c r="G52" s="3" t="s">
        <v>459</v>
      </c>
      <c r="H52" s="60">
        <f>H53</f>
        <v>2461.6999999999998</v>
      </c>
    </row>
    <row r="53" spans="1:8" ht="22.5" customHeight="1" x14ac:dyDescent="0.2">
      <c r="A53" s="30"/>
      <c r="B53" s="31"/>
      <c r="C53" s="4" t="s">
        <v>30</v>
      </c>
      <c r="D53" s="4" t="s">
        <v>94</v>
      </c>
      <c r="E53" s="5">
        <f>E54</f>
        <v>17282.669999999998</v>
      </c>
      <c r="F53" s="5">
        <f>F54</f>
        <v>2461.6999999999998</v>
      </c>
      <c r="G53" s="5" t="s">
        <v>459</v>
      </c>
      <c r="H53" s="59">
        <f>H54</f>
        <v>2461.6999999999998</v>
      </c>
    </row>
    <row r="54" spans="1:8" ht="22.5" customHeight="1" x14ac:dyDescent="0.2">
      <c r="A54" s="30"/>
      <c r="B54" s="31"/>
      <c r="C54" s="4" t="s">
        <v>57</v>
      </c>
      <c r="D54" s="4" t="s">
        <v>245</v>
      </c>
      <c r="E54" s="5">
        <f>17282.67</f>
        <v>17282.669999999998</v>
      </c>
      <c r="F54" s="5">
        <f>2461.7</f>
        <v>2461.6999999999998</v>
      </c>
      <c r="G54" s="5" t="s">
        <v>459</v>
      </c>
      <c r="H54" s="59">
        <f>2461.7</f>
        <v>2461.6999999999998</v>
      </c>
    </row>
    <row r="55" spans="1:8" ht="22.5" customHeight="1" thickBot="1" x14ac:dyDescent="0.25">
      <c r="A55" s="32" t="s">
        <v>6</v>
      </c>
      <c r="B55" s="33"/>
      <c r="C55" s="33"/>
      <c r="D55" s="34"/>
      <c r="E55" s="53">
        <f>E15+E21+E29+E38+E40+E52</f>
        <v>343828.59</v>
      </c>
      <c r="F55" s="53">
        <f>F15+F21+F29+F38+F40+F52</f>
        <v>75012.909999999989</v>
      </c>
      <c r="G55" s="53" t="s">
        <v>507</v>
      </c>
      <c r="H55" s="56">
        <f>H15+H21+H29+H38+H40+H52</f>
        <v>75012.909999999989</v>
      </c>
    </row>
    <row r="56" spans="1:8" ht="22.5" customHeight="1" x14ac:dyDescent="0.2">
      <c r="A56" s="35">
        <v>3</v>
      </c>
      <c r="B56" s="36" t="s">
        <v>8</v>
      </c>
      <c r="C56" s="13" t="s">
        <v>42</v>
      </c>
      <c r="D56" s="13" t="s">
        <v>246</v>
      </c>
      <c r="E56" s="3">
        <f>E57+E75+E80+E82+E84+E85+E86+E88</f>
        <v>2635160.07332</v>
      </c>
      <c r="F56" s="3">
        <f>F57+F75+F80+F82+F84+F85+F86+F88</f>
        <v>414995.46921000001</v>
      </c>
      <c r="G56" s="3" t="s">
        <v>508</v>
      </c>
      <c r="H56" s="60">
        <f>H57+H75+H80+H82+H84+H85+H86+H88</f>
        <v>414995.46921000001</v>
      </c>
    </row>
    <row r="57" spans="1:8" ht="22.5" customHeight="1" x14ac:dyDescent="0.2">
      <c r="A57" s="35"/>
      <c r="B57" s="36"/>
      <c r="C57" s="4" t="s">
        <v>30</v>
      </c>
      <c r="D57" s="4" t="s">
        <v>247</v>
      </c>
      <c r="E57" s="5">
        <f>E58+E59+E60+E61+E62+E63+E64+E65+E66+E67+E68+E69+E70+E71+E72+E73+E74</f>
        <v>2481443.3771299999</v>
      </c>
      <c r="F57" s="5">
        <f>F58+F59+F60+F61+F62+F63+F64+F65+F66+F67+F68+F69+F70+F71+F72+F73+F74</f>
        <v>392810.47023000004</v>
      </c>
      <c r="G57" s="5" t="s">
        <v>509</v>
      </c>
      <c r="H57" s="59">
        <f>H58+H59+H60+H61+H62+H63+H64+H65+H66+H67+H68+H69+H70+H71+H72+H73+H74</f>
        <v>392810.47023000004</v>
      </c>
    </row>
    <row r="58" spans="1:8" ht="22.5" customHeight="1" x14ac:dyDescent="0.2">
      <c r="A58" s="35"/>
      <c r="B58" s="36"/>
      <c r="C58" s="4" t="s">
        <v>116</v>
      </c>
      <c r="D58" s="4" t="s">
        <v>248</v>
      </c>
      <c r="E58" s="5">
        <f>1701475</f>
        <v>1701475</v>
      </c>
      <c r="F58" s="5">
        <f>262522.46262</f>
        <v>262522.46262000001</v>
      </c>
      <c r="G58" s="5" t="s">
        <v>510</v>
      </c>
      <c r="H58" s="59">
        <f>262522.46262</f>
        <v>262522.46262000001</v>
      </c>
    </row>
    <row r="59" spans="1:8" ht="22.5" customHeight="1" x14ac:dyDescent="0.2">
      <c r="A59" s="35"/>
      <c r="B59" s="36"/>
      <c r="C59" s="4" t="s">
        <v>157</v>
      </c>
      <c r="D59" s="4" t="s">
        <v>511</v>
      </c>
      <c r="E59" s="5">
        <f>58950</f>
        <v>58950</v>
      </c>
      <c r="F59" s="5">
        <f>14440.986</f>
        <v>14440.986000000001</v>
      </c>
      <c r="G59" s="5" t="s">
        <v>489</v>
      </c>
      <c r="H59" s="59">
        <f>14440.986</f>
        <v>14440.986000000001</v>
      </c>
    </row>
    <row r="60" spans="1:8" ht="22.5" customHeight="1" x14ac:dyDescent="0.2">
      <c r="A60" s="35"/>
      <c r="B60" s="36"/>
      <c r="C60" s="4" t="s">
        <v>160</v>
      </c>
      <c r="D60" s="4" t="s">
        <v>250</v>
      </c>
      <c r="E60" s="5">
        <f>28667</f>
        <v>28667</v>
      </c>
      <c r="F60" s="5">
        <f>8312.27436999999</f>
        <v>8312.2743699999901</v>
      </c>
      <c r="G60" s="5" t="s">
        <v>512</v>
      </c>
      <c r="H60" s="59">
        <f>8312.27436999999</f>
        <v>8312.2743699999901</v>
      </c>
    </row>
    <row r="61" spans="1:8" ht="22.5" customHeight="1" x14ac:dyDescent="0.2">
      <c r="A61" s="35"/>
      <c r="B61" s="36"/>
      <c r="C61" s="4" t="s">
        <v>252</v>
      </c>
      <c r="D61" s="4" t="s">
        <v>513</v>
      </c>
      <c r="E61" s="5">
        <f>7474</f>
        <v>7474</v>
      </c>
      <c r="F61" s="5">
        <f>817.22462</f>
        <v>817.22461999999996</v>
      </c>
      <c r="G61" s="5" t="s">
        <v>514</v>
      </c>
      <c r="H61" s="59">
        <f>817.22462</f>
        <v>817.22461999999996</v>
      </c>
    </row>
    <row r="62" spans="1:8" ht="22.5" customHeight="1" x14ac:dyDescent="0.2">
      <c r="A62" s="35"/>
      <c r="B62" s="36"/>
      <c r="C62" s="4" t="s">
        <v>60</v>
      </c>
      <c r="D62" s="4" t="s">
        <v>515</v>
      </c>
      <c r="E62" s="5">
        <f>0</f>
        <v>0</v>
      </c>
      <c r="F62" s="5">
        <f>0</f>
        <v>0</v>
      </c>
      <c r="G62" s="5" t="s">
        <v>29</v>
      </c>
      <c r="H62" s="59">
        <f>0</f>
        <v>0</v>
      </c>
    </row>
    <row r="63" spans="1:8" ht="22.5" customHeight="1" x14ac:dyDescent="0.2">
      <c r="A63" s="35"/>
      <c r="B63" s="36"/>
      <c r="C63" s="4" t="s">
        <v>63</v>
      </c>
      <c r="D63" s="4" t="s">
        <v>253</v>
      </c>
      <c r="E63" s="5">
        <f>0</f>
        <v>0</v>
      </c>
      <c r="F63" s="5">
        <f>0</f>
        <v>0</v>
      </c>
      <c r="G63" s="5" t="s">
        <v>29</v>
      </c>
      <c r="H63" s="59">
        <f>0</f>
        <v>0</v>
      </c>
    </row>
    <row r="64" spans="1:8" ht="22.5" customHeight="1" x14ac:dyDescent="0.2">
      <c r="A64" s="35"/>
      <c r="B64" s="36"/>
      <c r="C64" s="4" t="s">
        <v>64</v>
      </c>
      <c r="D64" s="4" t="s">
        <v>254</v>
      </c>
      <c r="E64" s="5">
        <f>0</f>
        <v>0</v>
      </c>
      <c r="F64" s="5">
        <f>0</f>
        <v>0</v>
      </c>
      <c r="G64" s="5" t="s">
        <v>29</v>
      </c>
      <c r="H64" s="59">
        <f>0</f>
        <v>0</v>
      </c>
    </row>
    <row r="65" spans="1:8" ht="22.5" customHeight="1" x14ac:dyDescent="0.2">
      <c r="A65" s="35"/>
      <c r="B65" s="36"/>
      <c r="C65" s="4" t="s">
        <v>163</v>
      </c>
      <c r="D65" s="4" t="s">
        <v>255</v>
      </c>
      <c r="E65" s="5">
        <f>0</f>
        <v>0</v>
      </c>
      <c r="F65" s="5">
        <f>0</f>
        <v>0</v>
      </c>
      <c r="G65" s="5" t="s">
        <v>29</v>
      </c>
      <c r="H65" s="59">
        <f>0</f>
        <v>0</v>
      </c>
    </row>
    <row r="66" spans="1:8" ht="22.5" customHeight="1" x14ac:dyDescent="0.2">
      <c r="A66" s="35"/>
      <c r="B66" s="36"/>
      <c r="C66" s="4" t="s">
        <v>51</v>
      </c>
      <c r="D66" s="4" t="s">
        <v>256</v>
      </c>
      <c r="E66" s="5">
        <f>285566.86656</f>
        <v>285566.86655999999</v>
      </c>
      <c r="F66" s="5">
        <f>43745.48483</f>
        <v>43745.484830000001</v>
      </c>
      <c r="G66" s="5" t="s">
        <v>260</v>
      </c>
      <c r="H66" s="59">
        <f>43745.48483</f>
        <v>43745.484830000001</v>
      </c>
    </row>
    <row r="67" spans="1:8" ht="22.5" customHeight="1" x14ac:dyDescent="0.2">
      <c r="A67" s="35"/>
      <c r="B67" s="36"/>
      <c r="C67" s="4" t="s">
        <v>52</v>
      </c>
      <c r="D67" s="4" t="s">
        <v>257</v>
      </c>
      <c r="E67" s="5">
        <f>48576.34709</f>
        <v>48576.347090000003</v>
      </c>
      <c r="F67" s="5">
        <f>93.5</f>
        <v>93.5</v>
      </c>
      <c r="G67" s="5" t="s">
        <v>391</v>
      </c>
      <c r="H67" s="59">
        <f>93.5</f>
        <v>93.5</v>
      </c>
    </row>
    <row r="68" spans="1:8" ht="22.5" customHeight="1" x14ac:dyDescent="0.2">
      <c r="A68" s="35"/>
      <c r="B68" s="36"/>
      <c r="C68" s="4" t="s">
        <v>258</v>
      </c>
      <c r="D68" s="4" t="s">
        <v>259</v>
      </c>
      <c r="E68" s="5">
        <f>97432.18648</f>
        <v>97432.186480000004</v>
      </c>
      <c r="F68" s="5">
        <f>17716.52117</f>
        <v>17716.52117</v>
      </c>
      <c r="G68" s="5" t="s">
        <v>516</v>
      </c>
      <c r="H68" s="59">
        <f>17716.52117</f>
        <v>17716.52117</v>
      </c>
    </row>
    <row r="69" spans="1:8" ht="22.5" customHeight="1" x14ac:dyDescent="0.2">
      <c r="A69" s="35"/>
      <c r="B69" s="36"/>
      <c r="C69" s="4" t="s">
        <v>261</v>
      </c>
      <c r="D69" s="4" t="s">
        <v>262</v>
      </c>
      <c r="E69" s="5">
        <f>0</f>
        <v>0</v>
      </c>
      <c r="F69" s="5">
        <f>0</f>
        <v>0</v>
      </c>
      <c r="G69" s="5" t="s">
        <v>29</v>
      </c>
      <c r="H69" s="59">
        <f>0</f>
        <v>0</v>
      </c>
    </row>
    <row r="70" spans="1:8" ht="22.5" customHeight="1" x14ac:dyDescent="0.2">
      <c r="A70" s="35"/>
      <c r="B70" s="36"/>
      <c r="C70" s="4" t="s">
        <v>263</v>
      </c>
      <c r="D70" s="4" t="s">
        <v>264</v>
      </c>
      <c r="E70" s="5">
        <f>9306.9</f>
        <v>9306.9</v>
      </c>
      <c r="F70" s="5">
        <f>6483.09978</f>
        <v>6483.0997799999996</v>
      </c>
      <c r="G70" s="5" t="s">
        <v>517</v>
      </c>
      <c r="H70" s="59">
        <f>6483.09978</f>
        <v>6483.0997799999996</v>
      </c>
    </row>
    <row r="71" spans="1:8" ht="22.5" customHeight="1" x14ac:dyDescent="0.2">
      <c r="A71" s="35"/>
      <c r="B71" s="36"/>
      <c r="C71" s="4" t="s">
        <v>476</v>
      </c>
      <c r="D71" s="4" t="s">
        <v>518</v>
      </c>
      <c r="E71" s="5">
        <f>4618</f>
        <v>4618</v>
      </c>
      <c r="F71" s="5">
        <f>1504.3278</f>
        <v>1504.3278</v>
      </c>
      <c r="G71" s="5" t="s">
        <v>519</v>
      </c>
      <c r="H71" s="59">
        <f>1504.3278</f>
        <v>1504.3278</v>
      </c>
    </row>
    <row r="72" spans="1:8" ht="22.5" customHeight="1" x14ac:dyDescent="0.2">
      <c r="A72" s="35"/>
      <c r="B72" s="36"/>
      <c r="C72" s="4" t="s">
        <v>477</v>
      </c>
      <c r="D72" s="4" t="s">
        <v>520</v>
      </c>
      <c r="E72" s="5">
        <f>98157</f>
        <v>98157</v>
      </c>
      <c r="F72" s="5">
        <f>13982.37113</f>
        <v>13982.37113</v>
      </c>
      <c r="G72" s="5" t="s">
        <v>459</v>
      </c>
      <c r="H72" s="59">
        <f>13982.37113</f>
        <v>13982.37113</v>
      </c>
    </row>
    <row r="73" spans="1:8" ht="22.5" customHeight="1" x14ac:dyDescent="0.2">
      <c r="A73" s="35"/>
      <c r="B73" s="36"/>
      <c r="C73" s="4" t="s">
        <v>478</v>
      </c>
      <c r="D73" s="4" t="s">
        <v>521</v>
      </c>
      <c r="E73" s="5">
        <f>98052.077</f>
        <v>98052.077000000005</v>
      </c>
      <c r="F73" s="5">
        <f>14533.72906</f>
        <v>14533.72906</v>
      </c>
      <c r="G73" s="5" t="s">
        <v>522</v>
      </c>
      <c r="H73" s="59">
        <f>14533.72906</f>
        <v>14533.72906</v>
      </c>
    </row>
    <row r="74" spans="1:8" ht="22.5" customHeight="1" x14ac:dyDescent="0.2">
      <c r="A74" s="35"/>
      <c r="B74" s="36"/>
      <c r="C74" s="4" t="s">
        <v>480</v>
      </c>
      <c r="D74" s="4" t="s">
        <v>279</v>
      </c>
      <c r="E74" s="5">
        <f>8461+34707</f>
        <v>43168</v>
      </c>
      <c r="F74" s="5">
        <f>1697.07827+6961.41058</f>
        <v>8658.4888499999997</v>
      </c>
      <c r="G74" s="5" t="s">
        <v>219</v>
      </c>
      <c r="H74" s="59">
        <f>1697.07827+6961.41058</f>
        <v>8658.4888499999997</v>
      </c>
    </row>
    <row r="75" spans="1:8" ht="22.5" customHeight="1" x14ac:dyDescent="0.2">
      <c r="A75" s="35"/>
      <c r="B75" s="36"/>
      <c r="C75" s="4" t="s">
        <v>27</v>
      </c>
      <c r="D75" s="4" t="s">
        <v>265</v>
      </c>
      <c r="E75" s="5">
        <f>E76+E77+E78+E79</f>
        <v>77531</v>
      </c>
      <c r="F75" s="5">
        <f>F76+F77+F78+F79</f>
        <v>11641.06668</v>
      </c>
      <c r="G75" s="5" t="s">
        <v>296</v>
      </c>
      <c r="H75" s="59">
        <f>H76+H77+H78+H79</f>
        <v>11641.06668</v>
      </c>
    </row>
    <row r="76" spans="1:8" ht="22.5" customHeight="1" x14ac:dyDescent="0.2">
      <c r="A76" s="35"/>
      <c r="B76" s="36"/>
      <c r="C76" s="4" t="s">
        <v>266</v>
      </c>
      <c r="D76" s="4" t="s">
        <v>267</v>
      </c>
      <c r="E76" s="5">
        <f>7378+40578.98679+25823.01321</f>
        <v>73780</v>
      </c>
      <c r="F76" s="5">
        <f>1153.74+6345.57+4038.09</f>
        <v>11537.4</v>
      </c>
      <c r="G76" s="5" t="s">
        <v>523</v>
      </c>
      <c r="H76" s="59">
        <f>1153.74+6345.57+4038.09</f>
        <v>11537.4</v>
      </c>
    </row>
    <row r="77" spans="1:8" ht="22.5" customHeight="1" x14ac:dyDescent="0.2">
      <c r="A77" s="35"/>
      <c r="B77" s="36"/>
      <c r="C77" s="4" t="s">
        <v>269</v>
      </c>
      <c r="D77" s="4" t="s">
        <v>270</v>
      </c>
      <c r="E77" s="5">
        <f>0</f>
        <v>0</v>
      </c>
      <c r="F77" s="5">
        <f>0</f>
        <v>0</v>
      </c>
      <c r="G77" s="5" t="s">
        <v>29</v>
      </c>
      <c r="H77" s="59">
        <f>0</f>
        <v>0</v>
      </c>
    </row>
    <row r="78" spans="1:8" ht="22.5" customHeight="1" x14ac:dyDescent="0.2">
      <c r="A78" s="35"/>
      <c r="B78" s="36"/>
      <c r="C78" s="4" t="s">
        <v>271</v>
      </c>
      <c r="D78" s="4" t="s">
        <v>272</v>
      </c>
      <c r="E78" s="5">
        <f>3440</f>
        <v>3440</v>
      </c>
      <c r="F78" s="5">
        <f>0</f>
        <v>0</v>
      </c>
      <c r="G78" s="5" t="s">
        <v>216</v>
      </c>
      <c r="H78" s="59">
        <f>0</f>
        <v>0</v>
      </c>
    </row>
    <row r="79" spans="1:8" ht="22.5" customHeight="1" x14ac:dyDescent="0.2">
      <c r="A79" s="35"/>
      <c r="B79" s="36"/>
      <c r="C79" s="4" t="s">
        <v>524</v>
      </c>
      <c r="D79" s="4" t="s">
        <v>525</v>
      </c>
      <c r="E79" s="5">
        <f>311</f>
        <v>311</v>
      </c>
      <c r="F79" s="5">
        <f>103.66668</f>
        <v>103.66668</v>
      </c>
      <c r="G79" s="5" t="s">
        <v>526</v>
      </c>
      <c r="H79" s="59">
        <f>103.66668</f>
        <v>103.66668</v>
      </c>
    </row>
    <row r="80" spans="1:8" ht="22.5" customHeight="1" x14ac:dyDescent="0.2">
      <c r="A80" s="35"/>
      <c r="B80" s="36"/>
      <c r="C80" s="4" t="s">
        <v>68</v>
      </c>
      <c r="D80" s="4" t="s">
        <v>273</v>
      </c>
      <c r="E80" s="5">
        <f>E81</f>
        <v>30045.355</v>
      </c>
      <c r="F80" s="5">
        <f>F81</f>
        <v>1154.2809</v>
      </c>
      <c r="G80" s="5" t="s">
        <v>527</v>
      </c>
      <c r="H80" s="59">
        <f>H81</f>
        <v>1154.2809</v>
      </c>
    </row>
    <row r="81" spans="1:8" ht="22.5" customHeight="1" x14ac:dyDescent="0.2">
      <c r="A81" s="35"/>
      <c r="B81" s="36"/>
      <c r="C81" s="4" t="s">
        <v>71</v>
      </c>
      <c r="D81" s="4" t="s">
        <v>274</v>
      </c>
      <c r="E81" s="5">
        <f>30045.355</f>
        <v>30045.355</v>
      </c>
      <c r="F81" s="5">
        <f>1154.2809</f>
        <v>1154.2809</v>
      </c>
      <c r="G81" s="5" t="s">
        <v>527</v>
      </c>
      <c r="H81" s="59">
        <f>1154.2809</f>
        <v>1154.2809</v>
      </c>
    </row>
    <row r="82" spans="1:8" ht="22.5" customHeight="1" x14ac:dyDescent="0.2">
      <c r="A82" s="35"/>
      <c r="B82" s="36"/>
      <c r="C82" s="4" t="s">
        <v>73</v>
      </c>
      <c r="D82" s="4" t="s">
        <v>275</v>
      </c>
      <c r="E82" s="5">
        <f>E83</f>
        <v>6715</v>
      </c>
      <c r="F82" s="5">
        <f>F83</f>
        <v>0</v>
      </c>
      <c r="G82" s="5" t="s">
        <v>216</v>
      </c>
      <c r="H82" s="59">
        <f>H83</f>
        <v>0</v>
      </c>
    </row>
    <row r="83" spans="1:8" ht="22.5" customHeight="1" x14ac:dyDescent="0.2">
      <c r="A83" s="35"/>
      <c r="B83" s="36"/>
      <c r="C83" s="4" t="s">
        <v>105</v>
      </c>
      <c r="D83" s="4" t="s">
        <v>276</v>
      </c>
      <c r="E83" s="5">
        <f>6715</f>
        <v>6715</v>
      </c>
      <c r="F83" s="5">
        <f>0</f>
        <v>0</v>
      </c>
      <c r="G83" s="5" t="s">
        <v>216</v>
      </c>
      <c r="H83" s="59">
        <f>0</f>
        <v>0</v>
      </c>
    </row>
    <row r="84" spans="1:8" ht="22.5" customHeight="1" x14ac:dyDescent="0.2">
      <c r="A84" s="35"/>
      <c r="B84" s="36"/>
      <c r="C84" s="4" t="s">
        <v>280</v>
      </c>
      <c r="D84" s="4" t="s">
        <v>281</v>
      </c>
      <c r="E84" s="5">
        <f>0</f>
        <v>0</v>
      </c>
      <c r="F84" s="5">
        <f>0</f>
        <v>0</v>
      </c>
      <c r="G84" s="5" t="s">
        <v>29</v>
      </c>
      <c r="H84" s="59">
        <f>0</f>
        <v>0</v>
      </c>
    </row>
    <row r="85" spans="1:8" ht="22.5" customHeight="1" x14ac:dyDescent="0.2">
      <c r="A85" s="35"/>
      <c r="B85" s="36"/>
      <c r="C85" s="4" t="s">
        <v>277</v>
      </c>
      <c r="D85" s="4" t="s">
        <v>278</v>
      </c>
      <c r="E85" s="5">
        <f>0</f>
        <v>0</v>
      </c>
      <c r="F85" s="5">
        <f>0</f>
        <v>0</v>
      </c>
      <c r="G85" s="5" t="s">
        <v>29</v>
      </c>
      <c r="H85" s="59">
        <f>0</f>
        <v>0</v>
      </c>
    </row>
    <row r="86" spans="1:8" ht="22.5" customHeight="1" x14ac:dyDescent="0.2">
      <c r="A86" s="35"/>
      <c r="B86" s="36"/>
      <c r="C86" s="4" t="s">
        <v>528</v>
      </c>
      <c r="D86" s="4" t="s">
        <v>529</v>
      </c>
      <c r="E86" s="5">
        <f>E87</f>
        <v>2022.1411899999998</v>
      </c>
      <c r="F86" s="5">
        <f>F87</f>
        <v>0</v>
      </c>
      <c r="G86" s="5" t="s">
        <v>216</v>
      </c>
      <c r="H86" s="59">
        <f>H87</f>
        <v>0</v>
      </c>
    </row>
    <row r="87" spans="1:8" ht="22.5" customHeight="1" x14ac:dyDescent="0.2">
      <c r="A87" s="35"/>
      <c r="B87" s="36"/>
      <c r="C87" s="4" t="s">
        <v>530</v>
      </c>
      <c r="D87" s="4" t="s">
        <v>531</v>
      </c>
      <c r="E87" s="5">
        <f>51.24119+1458.4151+512.4849</f>
        <v>2022.1411899999998</v>
      </c>
      <c r="F87" s="5">
        <f>0</f>
        <v>0</v>
      </c>
      <c r="G87" s="5" t="s">
        <v>216</v>
      </c>
      <c r="H87" s="59">
        <f>0</f>
        <v>0</v>
      </c>
    </row>
    <row r="88" spans="1:8" ht="22.5" customHeight="1" x14ac:dyDescent="0.2">
      <c r="A88" s="35"/>
      <c r="B88" s="36"/>
      <c r="C88" s="4" t="s">
        <v>532</v>
      </c>
      <c r="D88" s="4" t="s">
        <v>533</v>
      </c>
      <c r="E88" s="5">
        <f>E89+E90+E91</f>
        <v>37403.199999999997</v>
      </c>
      <c r="F88" s="5">
        <f>F89+F90+F91</f>
        <v>9389.6513999999988</v>
      </c>
      <c r="G88" s="5" t="s">
        <v>539</v>
      </c>
      <c r="H88" s="59">
        <f>H89+H90+H91</f>
        <v>9389.6513999999988</v>
      </c>
    </row>
    <row r="89" spans="1:8" ht="22.5" customHeight="1" x14ac:dyDescent="0.2">
      <c r="A89" s="35"/>
      <c r="B89" s="36"/>
      <c r="C89" s="4" t="s">
        <v>534</v>
      </c>
      <c r="D89" s="4" t="s">
        <v>535</v>
      </c>
      <c r="E89" s="5">
        <f>3109.01411+1092.98589</f>
        <v>4202</v>
      </c>
      <c r="F89" s="5">
        <f>777.25263+273.08877</f>
        <v>1050.3414</v>
      </c>
      <c r="G89" s="5" t="s">
        <v>282</v>
      </c>
      <c r="H89" s="59">
        <f>777.25263+273.08877</f>
        <v>1050.3414</v>
      </c>
    </row>
    <row r="90" spans="1:8" ht="22.5" customHeight="1" x14ac:dyDescent="0.2">
      <c r="A90" s="35"/>
      <c r="B90" s="36"/>
      <c r="C90" s="4" t="s">
        <v>537</v>
      </c>
      <c r="D90" s="4" t="s">
        <v>538</v>
      </c>
      <c r="E90" s="5">
        <f>32420</f>
        <v>32420</v>
      </c>
      <c r="F90" s="5">
        <f>8144.01</f>
        <v>8144.01</v>
      </c>
      <c r="G90" s="5" t="s">
        <v>539</v>
      </c>
      <c r="H90" s="59">
        <f>8144.01</f>
        <v>8144.01</v>
      </c>
    </row>
    <row r="91" spans="1:8" ht="22.5" customHeight="1" x14ac:dyDescent="0.2">
      <c r="A91" s="35"/>
      <c r="B91" s="36"/>
      <c r="C91" s="4" t="s">
        <v>540</v>
      </c>
      <c r="D91" s="4" t="s">
        <v>515</v>
      </c>
      <c r="E91" s="5">
        <f>781.2</f>
        <v>781.2</v>
      </c>
      <c r="F91" s="5">
        <f>195.3</f>
        <v>195.3</v>
      </c>
      <c r="G91" s="5" t="s">
        <v>282</v>
      </c>
      <c r="H91" s="59">
        <f>195.3</f>
        <v>195.3</v>
      </c>
    </row>
    <row r="92" spans="1:8" ht="22.5" customHeight="1" x14ac:dyDescent="0.2">
      <c r="A92" s="35"/>
      <c r="B92" s="36"/>
      <c r="C92" s="13" t="s">
        <v>54</v>
      </c>
      <c r="D92" s="13" t="s">
        <v>283</v>
      </c>
      <c r="E92" s="3">
        <f>E93+E98+E100+E102+E104+E105</f>
        <v>73817.85385</v>
      </c>
      <c r="F92" s="3">
        <f>F93+F98+F100+F102+F104+F105</f>
        <v>11813.734640000001</v>
      </c>
      <c r="G92" s="3" t="s">
        <v>364</v>
      </c>
      <c r="H92" s="60">
        <f>H93+H98+H100+H102+H104+H105</f>
        <v>11813.734640000001</v>
      </c>
    </row>
    <row r="93" spans="1:8" ht="22.5" customHeight="1" x14ac:dyDescent="0.2">
      <c r="A93" s="35"/>
      <c r="B93" s="36"/>
      <c r="C93" s="4" t="s">
        <v>27</v>
      </c>
      <c r="D93" s="4" t="s">
        <v>284</v>
      </c>
      <c r="E93" s="5">
        <f>E94+E95+E96+E97</f>
        <v>39478.013850000003</v>
      </c>
      <c r="F93" s="5">
        <f>F94+F95+F96+F97</f>
        <v>7156.0420199999999</v>
      </c>
      <c r="G93" s="5" t="s">
        <v>541</v>
      </c>
      <c r="H93" s="59">
        <f>H94+H95+H96+H97</f>
        <v>7156.0420199999999</v>
      </c>
    </row>
    <row r="94" spans="1:8" ht="22.5" customHeight="1" x14ac:dyDescent="0.2">
      <c r="A94" s="35"/>
      <c r="B94" s="36"/>
      <c r="C94" s="4" t="s">
        <v>86</v>
      </c>
      <c r="D94" s="4" t="s">
        <v>285</v>
      </c>
      <c r="E94" s="5">
        <f>32860.56025</f>
        <v>32860.560250000002</v>
      </c>
      <c r="F94" s="5">
        <f>6285.20202</f>
        <v>6285.2020199999997</v>
      </c>
      <c r="G94" s="5" t="s">
        <v>542</v>
      </c>
      <c r="H94" s="59">
        <f>6285.20202</f>
        <v>6285.2020199999997</v>
      </c>
    </row>
    <row r="95" spans="1:8" ht="22.5" customHeight="1" x14ac:dyDescent="0.2">
      <c r="A95" s="35"/>
      <c r="B95" s="36"/>
      <c r="C95" s="4" t="s">
        <v>98</v>
      </c>
      <c r="D95" s="4" t="s">
        <v>286</v>
      </c>
      <c r="E95" s="5">
        <f>832.7576</f>
        <v>832.75760000000002</v>
      </c>
      <c r="F95" s="5">
        <f>0</f>
        <v>0</v>
      </c>
      <c r="G95" s="5" t="s">
        <v>216</v>
      </c>
      <c r="H95" s="59">
        <f>0</f>
        <v>0</v>
      </c>
    </row>
    <row r="96" spans="1:8" ht="22.5" customHeight="1" x14ac:dyDescent="0.2">
      <c r="A96" s="35"/>
      <c r="B96" s="36"/>
      <c r="C96" s="4" t="s">
        <v>142</v>
      </c>
      <c r="D96" s="4" t="s">
        <v>287</v>
      </c>
      <c r="E96" s="5">
        <f>5784.696</f>
        <v>5784.6959999999999</v>
      </c>
      <c r="F96" s="5">
        <f>870.84</f>
        <v>870.84</v>
      </c>
      <c r="G96" s="5" t="s">
        <v>296</v>
      </c>
      <c r="H96" s="59">
        <f>870.84</f>
        <v>870.84</v>
      </c>
    </row>
    <row r="97" spans="1:8" ht="22.5" customHeight="1" x14ac:dyDescent="0.2">
      <c r="A97" s="35"/>
      <c r="B97" s="36"/>
      <c r="C97" s="4" t="s">
        <v>543</v>
      </c>
      <c r="D97" s="4" t="s">
        <v>544</v>
      </c>
      <c r="E97" s="5">
        <f>0</f>
        <v>0</v>
      </c>
      <c r="F97" s="5">
        <f>0</f>
        <v>0</v>
      </c>
      <c r="G97" s="5" t="s">
        <v>29</v>
      </c>
      <c r="H97" s="59">
        <f>0</f>
        <v>0</v>
      </c>
    </row>
    <row r="98" spans="1:8" ht="22.5" customHeight="1" x14ac:dyDescent="0.2">
      <c r="A98" s="35"/>
      <c r="B98" s="36"/>
      <c r="C98" s="4" t="s">
        <v>68</v>
      </c>
      <c r="D98" s="4" t="s">
        <v>545</v>
      </c>
      <c r="E98" s="5">
        <f>E99</f>
        <v>1599</v>
      </c>
      <c r="F98" s="5">
        <f>F99</f>
        <v>0</v>
      </c>
      <c r="G98" s="5" t="s">
        <v>216</v>
      </c>
      <c r="H98" s="59">
        <f>H99</f>
        <v>0</v>
      </c>
    </row>
    <row r="99" spans="1:8" ht="22.5" customHeight="1" x14ac:dyDescent="0.2">
      <c r="A99" s="35"/>
      <c r="B99" s="36"/>
      <c r="C99" s="4" t="s">
        <v>414</v>
      </c>
      <c r="D99" s="4" t="s">
        <v>546</v>
      </c>
      <c r="E99" s="5">
        <f>1599</f>
        <v>1599</v>
      </c>
      <c r="F99" s="5">
        <f>0</f>
        <v>0</v>
      </c>
      <c r="G99" s="5" t="s">
        <v>216</v>
      </c>
      <c r="H99" s="59">
        <f>0</f>
        <v>0</v>
      </c>
    </row>
    <row r="100" spans="1:8" ht="22.5" customHeight="1" x14ac:dyDescent="0.2">
      <c r="A100" s="35"/>
      <c r="B100" s="36"/>
      <c r="C100" s="4" t="s">
        <v>73</v>
      </c>
      <c r="D100" s="4" t="s">
        <v>289</v>
      </c>
      <c r="E100" s="5">
        <f>E101</f>
        <v>32061.84</v>
      </c>
      <c r="F100" s="5">
        <f>F101</f>
        <v>4570.2926200000002</v>
      </c>
      <c r="G100" s="5" t="s">
        <v>547</v>
      </c>
      <c r="H100" s="59">
        <f>H101</f>
        <v>4570.2926200000002</v>
      </c>
    </row>
    <row r="101" spans="1:8" ht="22.5" customHeight="1" x14ac:dyDescent="0.2">
      <c r="A101" s="35"/>
      <c r="B101" s="36"/>
      <c r="C101" s="4" t="s">
        <v>222</v>
      </c>
      <c r="D101" s="4" t="s">
        <v>290</v>
      </c>
      <c r="E101" s="5">
        <f>32061.84</f>
        <v>32061.84</v>
      </c>
      <c r="F101" s="5">
        <f>4570.29262</f>
        <v>4570.2926200000002</v>
      </c>
      <c r="G101" s="5" t="s">
        <v>547</v>
      </c>
      <c r="H101" s="59">
        <f>4570.29262</f>
        <v>4570.2926200000002</v>
      </c>
    </row>
    <row r="102" spans="1:8" ht="22.5" customHeight="1" x14ac:dyDescent="0.2">
      <c r="A102" s="35"/>
      <c r="B102" s="36"/>
      <c r="C102" s="4" t="s">
        <v>76</v>
      </c>
      <c r="D102" s="4" t="s">
        <v>273</v>
      </c>
      <c r="E102" s="5">
        <f>E103</f>
        <v>679</v>
      </c>
      <c r="F102" s="5">
        <f>F103</f>
        <v>87.4</v>
      </c>
      <c r="G102" s="5" t="s">
        <v>457</v>
      </c>
      <c r="H102" s="59">
        <f>H103</f>
        <v>87.4</v>
      </c>
    </row>
    <row r="103" spans="1:8" ht="22.5" customHeight="1" x14ac:dyDescent="0.2">
      <c r="A103" s="35"/>
      <c r="B103" s="36"/>
      <c r="C103" s="4" t="s">
        <v>239</v>
      </c>
      <c r="D103" s="4" t="s">
        <v>291</v>
      </c>
      <c r="E103" s="5">
        <f>679</f>
        <v>679</v>
      </c>
      <c r="F103" s="5">
        <f>87.4</f>
        <v>87.4</v>
      </c>
      <c r="G103" s="5" t="s">
        <v>457</v>
      </c>
      <c r="H103" s="59">
        <f>87.4</f>
        <v>87.4</v>
      </c>
    </row>
    <row r="104" spans="1:8" ht="22.5" customHeight="1" x14ac:dyDescent="0.2">
      <c r="A104" s="35"/>
      <c r="B104" s="36"/>
      <c r="C104" s="4" t="s">
        <v>292</v>
      </c>
      <c r="D104" s="4" t="s">
        <v>293</v>
      </c>
      <c r="E104" s="5">
        <f>0</f>
        <v>0</v>
      </c>
      <c r="F104" s="5">
        <f>0</f>
        <v>0</v>
      </c>
      <c r="G104" s="5" t="s">
        <v>29</v>
      </c>
      <c r="H104" s="59">
        <f>0</f>
        <v>0</v>
      </c>
    </row>
    <row r="105" spans="1:8" ht="22.5" customHeight="1" x14ac:dyDescent="0.2">
      <c r="A105" s="35"/>
      <c r="B105" s="36"/>
      <c r="C105" s="4" t="s">
        <v>280</v>
      </c>
      <c r="D105" s="4" t="s">
        <v>281</v>
      </c>
      <c r="E105" s="5">
        <f>0</f>
        <v>0</v>
      </c>
      <c r="F105" s="5">
        <f>0</f>
        <v>0</v>
      </c>
      <c r="G105" s="5" t="s">
        <v>29</v>
      </c>
      <c r="H105" s="59">
        <f>0</f>
        <v>0</v>
      </c>
    </row>
    <row r="106" spans="1:8" ht="22.5" customHeight="1" x14ac:dyDescent="0.2">
      <c r="A106" s="35"/>
      <c r="B106" s="36"/>
      <c r="C106" s="13" t="s">
        <v>97</v>
      </c>
      <c r="D106" s="13" t="s">
        <v>93</v>
      </c>
      <c r="E106" s="3">
        <f>E107</f>
        <v>37911.333729999998</v>
      </c>
      <c r="F106" s="3">
        <f>F107</f>
        <v>6435.5494099999996</v>
      </c>
      <c r="G106" s="3" t="s">
        <v>548</v>
      </c>
      <c r="H106" s="60">
        <f>H107</f>
        <v>6435.5494099999996</v>
      </c>
    </row>
    <row r="107" spans="1:8" ht="22.5" customHeight="1" x14ac:dyDescent="0.2">
      <c r="A107" s="35"/>
      <c r="B107" s="36"/>
      <c r="C107" s="4" t="s">
        <v>30</v>
      </c>
      <c r="D107" s="4" t="s">
        <v>94</v>
      </c>
      <c r="E107" s="5">
        <f>E108+E109</f>
        <v>37911.333729999998</v>
      </c>
      <c r="F107" s="5">
        <f>F108+F109</f>
        <v>6435.5494099999996</v>
      </c>
      <c r="G107" s="5" t="s">
        <v>548</v>
      </c>
      <c r="H107" s="59">
        <f>H108+H109</f>
        <v>6435.5494099999996</v>
      </c>
    </row>
    <row r="108" spans="1:8" ht="22.5" customHeight="1" x14ac:dyDescent="0.2">
      <c r="A108" s="35"/>
      <c r="B108" s="36"/>
      <c r="C108" s="4" t="s">
        <v>57</v>
      </c>
      <c r="D108" s="4" t="s">
        <v>294</v>
      </c>
      <c r="E108" s="5">
        <f>23230.54838</f>
        <v>23230.54838</v>
      </c>
      <c r="F108" s="5">
        <f>3849.97454</f>
        <v>3849.9745400000002</v>
      </c>
      <c r="G108" s="5" t="s">
        <v>249</v>
      </c>
      <c r="H108" s="59">
        <f>3849.97454</f>
        <v>3849.9745400000002</v>
      </c>
    </row>
    <row r="109" spans="1:8" ht="22.5" customHeight="1" x14ac:dyDescent="0.2">
      <c r="A109" s="35"/>
      <c r="B109" s="36"/>
      <c r="C109" s="4" t="s">
        <v>58</v>
      </c>
      <c r="D109" s="4" t="s">
        <v>295</v>
      </c>
      <c r="E109" s="5">
        <f>14680.78535</f>
        <v>14680.78535</v>
      </c>
      <c r="F109" s="5">
        <f>2585.57487</f>
        <v>2585.5748699999999</v>
      </c>
      <c r="G109" s="5" t="s">
        <v>464</v>
      </c>
      <c r="H109" s="59">
        <f>2585.57487</f>
        <v>2585.5748699999999</v>
      </c>
    </row>
    <row r="110" spans="1:8" ht="22.5" customHeight="1" thickBot="1" x14ac:dyDescent="0.25">
      <c r="A110" s="20" t="s">
        <v>6</v>
      </c>
      <c r="B110" s="21"/>
      <c r="C110" s="21"/>
      <c r="D110" s="22"/>
      <c r="E110" s="55">
        <f>E56+E92+E106</f>
        <v>2746889.2609000001</v>
      </c>
      <c r="F110" s="53">
        <f>F56+F92+F106</f>
        <v>433244.75325999997</v>
      </c>
      <c r="G110" s="53" t="s">
        <v>509</v>
      </c>
      <c r="H110" s="56">
        <f>H56+H92+H106</f>
        <v>433244.75325999997</v>
      </c>
    </row>
    <row r="111" spans="1:8" ht="22.5" customHeight="1" x14ac:dyDescent="0.2">
      <c r="A111" s="30">
        <v>4</v>
      </c>
      <c r="B111" s="31" t="s">
        <v>9</v>
      </c>
      <c r="C111" s="13" t="s">
        <v>42</v>
      </c>
      <c r="D111" s="13" t="s">
        <v>297</v>
      </c>
      <c r="E111" s="3">
        <f>E112+E118+E120</f>
        <v>13630.2</v>
      </c>
      <c r="F111" s="3">
        <f>F112+F118+F120</f>
        <v>1357.12</v>
      </c>
      <c r="G111" s="3" t="s">
        <v>549</v>
      </c>
      <c r="H111" s="60">
        <f>H112+H118+H120</f>
        <v>1357.12</v>
      </c>
    </row>
    <row r="112" spans="1:8" ht="22.5" customHeight="1" x14ac:dyDescent="0.2">
      <c r="A112" s="30"/>
      <c r="B112" s="31"/>
      <c r="C112" s="4" t="s">
        <v>298</v>
      </c>
      <c r="D112" s="4" t="s">
        <v>299</v>
      </c>
      <c r="E112" s="5">
        <f>E113</f>
        <v>4395</v>
      </c>
      <c r="F112" s="5">
        <f>F113</f>
        <v>65.8</v>
      </c>
      <c r="G112" s="5" t="s">
        <v>550</v>
      </c>
      <c r="H112" s="59">
        <f>H113</f>
        <v>65.8</v>
      </c>
    </row>
    <row r="113" spans="1:8" ht="22.5" customHeight="1" x14ac:dyDescent="0.2">
      <c r="A113" s="30"/>
      <c r="B113" s="31"/>
      <c r="C113" s="4" t="s">
        <v>300</v>
      </c>
      <c r="D113" s="4" t="s">
        <v>301</v>
      </c>
      <c r="E113" s="5">
        <f>E114+E115+E116+E117</f>
        <v>4395</v>
      </c>
      <c r="F113" s="5">
        <f>F114+F115+F116+F117</f>
        <v>65.8</v>
      </c>
      <c r="G113" s="5" t="s">
        <v>550</v>
      </c>
      <c r="H113" s="59">
        <f>H114+H115+H116+H117</f>
        <v>65.8</v>
      </c>
    </row>
    <row r="114" spans="1:8" ht="22.5" customHeight="1" x14ac:dyDescent="0.2">
      <c r="A114" s="30"/>
      <c r="B114" s="31"/>
      <c r="C114" s="4" t="s">
        <v>302</v>
      </c>
      <c r="D114" s="4" t="s">
        <v>303</v>
      </c>
      <c r="E114" s="5">
        <f>1000</f>
        <v>1000</v>
      </c>
      <c r="F114" s="5">
        <f>0</f>
        <v>0</v>
      </c>
      <c r="G114" s="5" t="s">
        <v>216</v>
      </c>
      <c r="H114" s="59">
        <f>0</f>
        <v>0</v>
      </c>
    </row>
    <row r="115" spans="1:8" ht="22.5" customHeight="1" x14ac:dyDescent="0.2">
      <c r="A115" s="30"/>
      <c r="B115" s="31"/>
      <c r="C115" s="4" t="s">
        <v>304</v>
      </c>
      <c r="D115" s="4" t="s">
        <v>305</v>
      </c>
      <c r="E115" s="5">
        <f>2000</f>
        <v>2000</v>
      </c>
      <c r="F115" s="5">
        <f>0</f>
        <v>0</v>
      </c>
      <c r="G115" s="5" t="s">
        <v>216</v>
      </c>
      <c r="H115" s="59">
        <f>0</f>
        <v>0</v>
      </c>
    </row>
    <row r="116" spans="1:8" ht="22.5" customHeight="1" x14ac:dyDescent="0.2">
      <c r="A116" s="30"/>
      <c r="B116" s="31"/>
      <c r="C116" s="4" t="s">
        <v>306</v>
      </c>
      <c r="D116" s="4" t="s">
        <v>307</v>
      </c>
      <c r="E116" s="5">
        <f>1000</f>
        <v>1000</v>
      </c>
      <c r="F116" s="5">
        <f>47.8</f>
        <v>47.8</v>
      </c>
      <c r="G116" s="5" t="s">
        <v>458</v>
      </c>
      <c r="H116" s="59">
        <f>47.8</f>
        <v>47.8</v>
      </c>
    </row>
    <row r="117" spans="1:8" ht="22.5" customHeight="1" x14ac:dyDescent="0.2">
      <c r="A117" s="30"/>
      <c r="B117" s="31"/>
      <c r="C117" s="4" t="s">
        <v>308</v>
      </c>
      <c r="D117" s="4" t="s">
        <v>309</v>
      </c>
      <c r="E117" s="5">
        <f>395</f>
        <v>395</v>
      </c>
      <c r="F117" s="5">
        <f>18</f>
        <v>18</v>
      </c>
      <c r="G117" s="5" t="s">
        <v>310</v>
      </c>
      <c r="H117" s="59">
        <f>18</f>
        <v>18</v>
      </c>
    </row>
    <row r="118" spans="1:8" ht="22.5" customHeight="1" x14ac:dyDescent="0.2">
      <c r="A118" s="30"/>
      <c r="B118" s="31"/>
      <c r="C118" s="4" t="s">
        <v>311</v>
      </c>
      <c r="D118" s="4" t="s">
        <v>312</v>
      </c>
      <c r="E118" s="5">
        <f>E119</f>
        <v>9235.2000000000007</v>
      </c>
      <c r="F118" s="5">
        <f>F119</f>
        <v>1291.32</v>
      </c>
      <c r="G118" s="5" t="s">
        <v>465</v>
      </c>
      <c r="H118" s="59">
        <f>H119</f>
        <v>1291.32</v>
      </c>
    </row>
    <row r="119" spans="1:8" ht="22.5" customHeight="1" x14ac:dyDescent="0.2">
      <c r="A119" s="30"/>
      <c r="B119" s="31"/>
      <c r="C119" s="4" t="s">
        <v>314</v>
      </c>
      <c r="D119" s="4" t="s">
        <v>315</v>
      </c>
      <c r="E119" s="5">
        <f>9235.2</f>
        <v>9235.2000000000007</v>
      </c>
      <c r="F119" s="5">
        <f>1291.32</f>
        <v>1291.32</v>
      </c>
      <c r="G119" s="5" t="s">
        <v>465</v>
      </c>
      <c r="H119" s="59">
        <f>1291.32</f>
        <v>1291.32</v>
      </c>
    </row>
    <row r="120" spans="1:8" ht="22.5" customHeight="1" x14ac:dyDescent="0.2">
      <c r="A120" s="30"/>
      <c r="B120" s="31"/>
      <c r="C120" s="4" t="s">
        <v>316</v>
      </c>
      <c r="D120" s="4" t="s">
        <v>317</v>
      </c>
      <c r="E120" s="5">
        <f>0</f>
        <v>0</v>
      </c>
      <c r="F120" s="5">
        <f>0</f>
        <v>0</v>
      </c>
      <c r="G120" s="5" t="s">
        <v>29</v>
      </c>
      <c r="H120" s="59">
        <f>0</f>
        <v>0</v>
      </c>
    </row>
    <row r="121" spans="1:8" ht="22.5" customHeight="1" x14ac:dyDescent="0.2">
      <c r="A121" s="30"/>
      <c r="B121" s="31"/>
      <c r="C121" s="13" t="s">
        <v>54</v>
      </c>
      <c r="D121" s="13" t="s">
        <v>318</v>
      </c>
      <c r="E121" s="3">
        <f>E122</f>
        <v>27240.400000000001</v>
      </c>
      <c r="F121" s="3">
        <f>F122</f>
        <v>0</v>
      </c>
      <c r="G121" s="3" t="s">
        <v>216</v>
      </c>
      <c r="H121" s="60">
        <f>H122</f>
        <v>0</v>
      </c>
    </row>
    <row r="122" spans="1:8" ht="22.5" customHeight="1" x14ac:dyDescent="0.2">
      <c r="A122" s="30"/>
      <c r="B122" s="31"/>
      <c r="C122" s="4" t="s">
        <v>68</v>
      </c>
      <c r="D122" s="4" t="s">
        <v>319</v>
      </c>
      <c r="E122" s="5">
        <f>E123+E124</f>
        <v>27240.400000000001</v>
      </c>
      <c r="F122" s="5">
        <f>F123+F124</f>
        <v>0</v>
      </c>
      <c r="G122" s="5" t="s">
        <v>216</v>
      </c>
      <c r="H122" s="59">
        <f>H123+H124</f>
        <v>0</v>
      </c>
    </row>
    <row r="123" spans="1:8" ht="22.5" customHeight="1" x14ac:dyDescent="0.2">
      <c r="A123" s="30"/>
      <c r="B123" s="31"/>
      <c r="C123" s="4" t="s">
        <v>71</v>
      </c>
      <c r="D123" s="4" t="s">
        <v>319</v>
      </c>
      <c r="E123" s="5">
        <f>15100+5843+6297.4</f>
        <v>27240.400000000001</v>
      </c>
      <c r="F123" s="5">
        <f>0</f>
        <v>0</v>
      </c>
      <c r="G123" s="5" t="s">
        <v>216</v>
      </c>
      <c r="H123" s="59">
        <f>0</f>
        <v>0</v>
      </c>
    </row>
    <row r="124" spans="1:8" ht="22.5" customHeight="1" x14ac:dyDescent="0.2">
      <c r="A124" s="30"/>
      <c r="B124" s="31"/>
      <c r="C124" s="4" t="s">
        <v>90</v>
      </c>
      <c r="D124" s="4" t="s">
        <v>320</v>
      </c>
      <c r="E124" s="5">
        <f>0</f>
        <v>0</v>
      </c>
      <c r="F124" s="5">
        <f>0</f>
        <v>0</v>
      </c>
      <c r="G124" s="5" t="s">
        <v>29</v>
      </c>
      <c r="H124" s="59">
        <f>0</f>
        <v>0</v>
      </c>
    </row>
    <row r="125" spans="1:8" ht="22.5" customHeight="1" x14ac:dyDescent="0.2">
      <c r="A125" s="30"/>
      <c r="B125" s="31"/>
      <c r="C125" s="13" t="s">
        <v>97</v>
      </c>
      <c r="D125" s="13" t="s">
        <v>321</v>
      </c>
      <c r="E125" s="3">
        <f>E126</f>
        <v>0</v>
      </c>
      <c r="F125" s="3">
        <f>F126</f>
        <v>0</v>
      </c>
      <c r="G125" s="3" t="s">
        <v>29</v>
      </c>
      <c r="H125" s="60">
        <f>H126</f>
        <v>0</v>
      </c>
    </row>
    <row r="126" spans="1:8" ht="22.5" customHeight="1" x14ac:dyDescent="0.2">
      <c r="A126" s="30"/>
      <c r="B126" s="31"/>
      <c r="C126" s="4" t="s">
        <v>68</v>
      </c>
      <c r="D126" s="4" t="s">
        <v>322</v>
      </c>
      <c r="E126" s="5">
        <f>0</f>
        <v>0</v>
      </c>
      <c r="F126" s="5">
        <f>0</f>
        <v>0</v>
      </c>
      <c r="G126" s="5" t="s">
        <v>29</v>
      </c>
      <c r="H126" s="59">
        <f>0</f>
        <v>0</v>
      </c>
    </row>
    <row r="127" spans="1:8" ht="22.5" customHeight="1" x14ac:dyDescent="0.2">
      <c r="A127" s="30"/>
      <c r="B127" s="31"/>
      <c r="C127" s="13" t="s">
        <v>28</v>
      </c>
      <c r="D127" s="13" t="s">
        <v>93</v>
      </c>
      <c r="E127" s="3">
        <f>E128</f>
        <v>8617</v>
      </c>
      <c r="F127" s="3">
        <f>F128</f>
        <v>1180.4100000000001</v>
      </c>
      <c r="G127" s="3" t="s">
        <v>238</v>
      </c>
      <c r="H127" s="60">
        <f>H128</f>
        <v>1180.4100000000001</v>
      </c>
    </row>
    <row r="128" spans="1:8" ht="22.5" customHeight="1" x14ac:dyDescent="0.2">
      <c r="A128" s="30"/>
      <c r="B128" s="31"/>
      <c r="C128" s="4" t="s">
        <v>68</v>
      </c>
      <c r="D128" s="4" t="s">
        <v>323</v>
      </c>
      <c r="E128" s="5">
        <f>E129</f>
        <v>8617</v>
      </c>
      <c r="F128" s="5">
        <f>F129</f>
        <v>1180.4100000000001</v>
      </c>
      <c r="G128" s="5" t="s">
        <v>238</v>
      </c>
      <c r="H128" s="59">
        <f>H129</f>
        <v>1180.4100000000001</v>
      </c>
    </row>
    <row r="129" spans="1:8" ht="22.5" customHeight="1" x14ac:dyDescent="0.2">
      <c r="A129" s="30"/>
      <c r="B129" s="31"/>
      <c r="C129" s="4" t="s">
        <v>72</v>
      </c>
      <c r="D129" s="4" t="s">
        <v>324</v>
      </c>
      <c r="E129" s="5">
        <f>8617</f>
        <v>8617</v>
      </c>
      <c r="F129" s="5">
        <f>1180.41</f>
        <v>1180.4100000000001</v>
      </c>
      <c r="G129" s="5" t="s">
        <v>238</v>
      </c>
      <c r="H129" s="59">
        <f>1180.41</f>
        <v>1180.4100000000001</v>
      </c>
    </row>
    <row r="130" spans="1:8" ht="22.5" customHeight="1" x14ac:dyDescent="0.2">
      <c r="A130" s="30"/>
      <c r="B130" s="31"/>
      <c r="C130" s="13" t="s">
        <v>135</v>
      </c>
      <c r="D130" s="13" t="s">
        <v>325</v>
      </c>
      <c r="E130" s="3">
        <f>E131+E132</f>
        <v>0</v>
      </c>
      <c r="F130" s="3">
        <f>F131+F132</f>
        <v>0</v>
      </c>
      <c r="G130" s="3" t="s">
        <v>29</v>
      </c>
      <c r="H130" s="60">
        <f>H131+H132</f>
        <v>0</v>
      </c>
    </row>
    <row r="131" spans="1:8" ht="22.5" customHeight="1" x14ac:dyDescent="0.2">
      <c r="A131" s="30"/>
      <c r="B131" s="31"/>
      <c r="C131" s="4" t="s">
        <v>30</v>
      </c>
      <c r="D131" s="4" t="s">
        <v>326</v>
      </c>
      <c r="E131" s="5">
        <f>0</f>
        <v>0</v>
      </c>
      <c r="F131" s="5">
        <f>0</f>
        <v>0</v>
      </c>
      <c r="G131" s="5" t="s">
        <v>29</v>
      </c>
      <c r="H131" s="59">
        <f>0</f>
        <v>0</v>
      </c>
    </row>
    <row r="132" spans="1:8" ht="22.5" customHeight="1" x14ac:dyDescent="0.2">
      <c r="A132" s="30"/>
      <c r="B132" s="31"/>
      <c r="C132" s="4" t="s">
        <v>27</v>
      </c>
      <c r="D132" s="4" t="s">
        <v>327</v>
      </c>
      <c r="E132" s="5">
        <f>0</f>
        <v>0</v>
      </c>
      <c r="F132" s="5">
        <f>0</f>
        <v>0</v>
      </c>
      <c r="G132" s="5" t="s">
        <v>29</v>
      </c>
      <c r="H132" s="59">
        <f>0</f>
        <v>0</v>
      </c>
    </row>
    <row r="133" spans="1:8" ht="22.5" customHeight="1" x14ac:dyDescent="0.2">
      <c r="A133" s="30"/>
      <c r="B133" s="31"/>
      <c r="C133" s="13" t="s">
        <v>328</v>
      </c>
      <c r="D133" s="13" t="s">
        <v>329</v>
      </c>
      <c r="E133" s="3">
        <f>E134</f>
        <v>100</v>
      </c>
      <c r="F133" s="3">
        <f>F134</f>
        <v>0</v>
      </c>
      <c r="G133" s="3" t="s">
        <v>216</v>
      </c>
      <c r="H133" s="60">
        <f>H134</f>
        <v>0</v>
      </c>
    </row>
    <row r="134" spans="1:8" ht="22.5" customHeight="1" x14ac:dyDescent="0.2">
      <c r="A134" s="30"/>
      <c r="B134" s="31"/>
      <c r="C134" s="4" t="s">
        <v>30</v>
      </c>
      <c r="D134" s="4" t="s">
        <v>330</v>
      </c>
      <c r="E134" s="5">
        <f>E135</f>
        <v>100</v>
      </c>
      <c r="F134" s="5">
        <f>F135</f>
        <v>0</v>
      </c>
      <c r="G134" s="5" t="s">
        <v>216</v>
      </c>
      <c r="H134" s="59">
        <f>H135</f>
        <v>0</v>
      </c>
    </row>
    <row r="135" spans="1:8" ht="22.5" customHeight="1" x14ac:dyDescent="0.2">
      <c r="A135" s="30"/>
      <c r="B135" s="31"/>
      <c r="C135" s="4" t="s">
        <v>57</v>
      </c>
      <c r="D135" s="4" t="s">
        <v>331</v>
      </c>
      <c r="E135" s="5">
        <f>100</f>
        <v>100</v>
      </c>
      <c r="F135" s="5">
        <f>0</f>
        <v>0</v>
      </c>
      <c r="G135" s="5" t="s">
        <v>216</v>
      </c>
      <c r="H135" s="59">
        <f>0</f>
        <v>0</v>
      </c>
    </row>
    <row r="136" spans="1:8" ht="22.5" customHeight="1" thickBot="1" x14ac:dyDescent="0.25">
      <c r="A136" s="37" t="s">
        <v>6</v>
      </c>
      <c r="B136" s="38"/>
      <c r="C136" s="38"/>
      <c r="D136" s="38"/>
      <c r="E136" s="55">
        <f>E111+E121+E125+E127+E130+E133</f>
        <v>49587.600000000006</v>
      </c>
      <c r="F136" s="53">
        <f>F111+F121+F125+F127+F130+F133</f>
        <v>2537.5299999999997</v>
      </c>
      <c r="G136" s="54" t="s">
        <v>678</v>
      </c>
      <c r="H136" s="61">
        <f>H111+H121+H125+H127+H130+H133</f>
        <v>2537.5299999999997</v>
      </c>
    </row>
    <row r="137" spans="1:8" ht="22.5" customHeight="1" x14ac:dyDescent="0.2">
      <c r="A137" s="42">
        <v>5</v>
      </c>
      <c r="B137" s="44" t="s">
        <v>10</v>
      </c>
      <c r="C137" s="13" t="s">
        <v>42</v>
      </c>
      <c r="D137" s="13" t="s">
        <v>332</v>
      </c>
      <c r="E137" s="3">
        <f>E138+E142+E144+E146</f>
        <v>51571.22</v>
      </c>
      <c r="F137" s="3">
        <f>F138+F142+F144+F146</f>
        <v>8176.6800600000006</v>
      </c>
      <c r="G137" s="3" t="s">
        <v>551</v>
      </c>
      <c r="H137" s="60">
        <f>H138+H142+H144+H146</f>
        <v>8176.6800600000006</v>
      </c>
    </row>
    <row r="138" spans="1:8" ht="22.5" customHeight="1" x14ac:dyDescent="0.2">
      <c r="A138" s="43"/>
      <c r="B138" s="45"/>
      <c r="C138" s="4" t="s">
        <v>30</v>
      </c>
      <c r="D138" s="4" t="s">
        <v>552</v>
      </c>
      <c r="E138" s="5">
        <f>E139+E140+E141</f>
        <v>23763.85</v>
      </c>
      <c r="F138" s="5">
        <f>F139+F140+F141</f>
        <v>3857.268</v>
      </c>
      <c r="G138" s="5" t="s">
        <v>398</v>
      </c>
      <c r="H138" s="59">
        <f>H139+H140+H141</f>
        <v>3857.268</v>
      </c>
    </row>
    <row r="139" spans="1:8" ht="22.5" customHeight="1" x14ac:dyDescent="0.2">
      <c r="A139" s="43"/>
      <c r="B139" s="45"/>
      <c r="C139" s="4" t="s">
        <v>57</v>
      </c>
      <c r="D139" s="4" t="s">
        <v>334</v>
      </c>
      <c r="E139" s="5">
        <f>10174.85</f>
        <v>10174.85</v>
      </c>
      <c r="F139" s="5">
        <f>1881.868</f>
        <v>1881.8679999999999</v>
      </c>
      <c r="G139" s="5" t="s">
        <v>536</v>
      </c>
      <c r="H139" s="59">
        <f>1881.868</f>
        <v>1881.8679999999999</v>
      </c>
    </row>
    <row r="140" spans="1:8" ht="22.5" customHeight="1" x14ac:dyDescent="0.2">
      <c r="A140" s="43"/>
      <c r="B140" s="45"/>
      <c r="C140" s="4" t="s">
        <v>58</v>
      </c>
      <c r="D140" s="4" t="s">
        <v>335</v>
      </c>
      <c r="E140" s="5">
        <f>0</f>
        <v>0</v>
      </c>
      <c r="F140" s="5">
        <f>0</f>
        <v>0</v>
      </c>
      <c r="G140" s="5" t="s">
        <v>29</v>
      </c>
      <c r="H140" s="59">
        <f>0</f>
        <v>0</v>
      </c>
    </row>
    <row r="141" spans="1:8" ht="22.5" customHeight="1" x14ac:dyDescent="0.2">
      <c r="A141" s="43"/>
      <c r="B141" s="45"/>
      <c r="C141" s="4" t="s">
        <v>46</v>
      </c>
      <c r="D141" s="4" t="s">
        <v>336</v>
      </c>
      <c r="E141" s="5">
        <f>13589</f>
        <v>13589</v>
      </c>
      <c r="F141" s="5">
        <f>1975.4</f>
        <v>1975.4</v>
      </c>
      <c r="G141" s="5" t="s">
        <v>553</v>
      </c>
      <c r="H141" s="59">
        <f>1975.4</f>
        <v>1975.4</v>
      </c>
    </row>
    <row r="142" spans="1:8" ht="22.5" customHeight="1" x14ac:dyDescent="0.2">
      <c r="A142" s="43"/>
      <c r="B142" s="45"/>
      <c r="C142" s="4" t="s">
        <v>27</v>
      </c>
      <c r="D142" s="4" t="s">
        <v>554</v>
      </c>
      <c r="E142" s="5">
        <f>E143</f>
        <v>5404.74</v>
      </c>
      <c r="F142" s="5">
        <f>F143</f>
        <v>0</v>
      </c>
      <c r="G142" s="5" t="s">
        <v>216</v>
      </c>
      <c r="H142" s="59">
        <f>H143</f>
        <v>0</v>
      </c>
    </row>
    <row r="143" spans="1:8" ht="22.5" customHeight="1" x14ac:dyDescent="0.2">
      <c r="A143" s="43"/>
      <c r="B143" s="45"/>
      <c r="C143" s="4" t="s">
        <v>269</v>
      </c>
      <c r="D143" s="4" t="s">
        <v>555</v>
      </c>
      <c r="E143" s="5">
        <f>5404.74</f>
        <v>5404.74</v>
      </c>
      <c r="F143" s="5">
        <f>0</f>
        <v>0</v>
      </c>
      <c r="G143" s="5" t="s">
        <v>216</v>
      </c>
      <c r="H143" s="59">
        <f>0</f>
        <v>0</v>
      </c>
    </row>
    <row r="144" spans="1:8" ht="22.5" customHeight="1" x14ac:dyDescent="0.2">
      <c r="A144" s="43"/>
      <c r="B144" s="45"/>
      <c r="C144" s="4" t="s">
        <v>68</v>
      </c>
      <c r="D144" s="4" t="s">
        <v>337</v>
      </c>
      <c r="E144" s="5">
        <f>E145</f>
        <v>2402.63</v>
      </c>
      <c r="F144" s="5">
        <f>F145</f>
        <v>167.8</v>
      </c>
      <c r="G144" s="5" t="s">
        <v>556</v>
      </c>
      <c r="H144" s="59">
        <f>H145</f>
        <v>167.8</v>
      </c>
    </row>
    <row r="145" spans="1:8" ht="22.5" customHeight="1" x14ac:dyDescent="0.2">
      <c r="A145" s="43"/>
      <c r="B145" s="45"/>
      <c r="C145" s="4" t="s">
        <v>209</v>
      </c>
      <c r="D145" s="4" t="s">
        <v>338</v>
      </c>
      <c r="E145" s="5">
        <f>2402.63</f>
        <v>2402.63</v>
      </c>
      <c r="F145" s="5">
        <f>167.8</f>
        <v>167.8</v>
      </c>
      <c r="G145" s="5" t="s">
        <v>556</v>
      </c>
      <c r="H145" s="59">
        <f>167.8</f>
        <v>167.8</v>
      </c>
    </row>
    <row r="146" spans="1:8" ht="22.5" customHeight="1" x14ac:dyDescent="0.2">
      <c r="A146" s="43"/>
      <c r="B146" s="45"/>
      <c r="C146" s="4" t="s">
        <v>73</v>
      </c>
      <c r="D146" s="4" t="s">
        <v>339</v>
      </c>
      <c r="E146" s="5">
        <f>E147</f>
        <v>20000</v>
      </c>
      <c r="F146" s="5">
        <f>F147</f>
        <v>4151.6120600000004</v>
      </c>
      <c r="G146" s="5" t="s">
        <v>557</v>
      </c>
      <c r="H146" s="59">
        <f>H147</f>
        <v>4151.6120600000004</v>
      </c>
    </row>
    <row r="147" spans="1:8" ht="22.5" customHeight="1" x14ac:dyDescent="0.2">
      <c r="A147" s="43"/>
      <c r="B147" s="45"/>
      <c r="C147" s="4" t="s">
        <v>222</v>
      </c>
      <c r="D147" s="4" t="s">
        <v>341</v>
      </c>
      <c r="E147" s="5">
        <f>3920+16080</f>
        <v>20000</v>
      </c>
      <c r="F147" s="5">
        <f>813.71597+3337.89609</f>
        <v>4151.6120600000004</v>
      </c>
      <c r="G147" s="5" t="s">
        <v>557</v>
      </c>
      <c r="H147" s="59">
        <f>813.71597+3337.89609</f>
        <v>4151.6120600000004</v>
      </c>
    </row>
    <row r="148" spans="1:8" ht="22.5" customHeight="1" x14ac:dyDescent="0.2">
      <c r="A148" s="43"/>
      <c r="B148" s="45"/>
      <c r="C148" s="13" t="s">
        <v>54</v>
      </c>
      <c r="D148" s="13" t="s">
        <v>342</v>
      </c>
      <c r="E148" s="3">
        <f>E149+E152</f>
        <v>136236.31</v>
      </c>
      <c r="F148" s="3">
        <f>F149+F152</f>
        <v>26819.01</v>
      </c>
      <c r="G148" s="3" t="s">
        <v>558</v>
      </c>
      <c r="H148" s="60">
        <f>H149+H152</f>
        <v>26819.01</v>
      </c>
    </row>
    <row r="149" spans="1:8" ht="22.5" customHeight="1" x14ac:dyDescent="0.2">
      <c r="A149" s="43"/>
      <c r="B149" s="45"/>
      <c r="C149" s="4" t="s">
        <v>30</v>
      </c>
      <c r="D149" s="4" t="s">
        <v>343</v>
      </c>
      <c r="E149" s="5">
        <f>E150+E151</f>
        <v>136236.31</v>
      </c>
      <c r="F149" s="5">
        <f>F150+F151</f>
        <v>26819.01</v>
      </c>
      <c r="G149" s="5" t="s">
        <v>558</v>
      </c>
      <c r="H149" s="59">
        <f>H150+H151</f>
        <v>26819.01</v>
      </c>
    </row>
    <row r="150" spans="1:8" ht="22.5" customHeight="1" x14ac:dyDescent="0.2">
      <c r="A150" s="43"/>
      <c r="B150" s="45"/>
      <c r="C150" s="4" t="s">
        <v>57</v>
      </c>
      <c r="D150" s="4" t="s">
        <v>344</v>
      </c>
      <c r="E150" s="5">
        <f>123534.5</f>
        <v>123534.5</v>
      </c>
      <c r="F150" s="5">
        <f>25158.48</f>
        <v>25158.48</v>
      </c>
      <c r="G150" s="5" t="s">
        <v>498</v>
      </c>
      <c r="H150" s="59">
        <f>25158.48</f>
        <v>25158.48</v>
      </c>
    </row>
    <row r="151" spans="1:8" ht="22.5" customHeight="1" x14ac:dyDescent="0.2">
      <c r="A151" s="43"/>
      <c r="B151" s="45"/>
      <c r="C151" s="4" t="s">
        <v>58</v>
      </c>
      <c r="D151" s="4" t="s">
        <v>345</v>
      </c>
      <c r="E151" s="5">
        <f>12701.81</f>
        <v>12701.81</v>
      </c>
      <c r="F151" s="5">
        <f>1660.53</f>
        <v>1660.53</v>
      </c>
      <c r="G151" s="5" t="s">
        <v>473</v>
      </c>
      <c r="H151" s="59">
        <f>1660.53</f>
        <v>1660.53</v>
      </c>
    </row>
    <row r="152" spans="1:8" ht="22.5" customHeight="1" x14ac:dyDescent="0.2">
      <c r="A152" s="43"/>
      <c r="B152" s="45"/>
      <c r="C152" s="4" t="s">
        <v>73</v>
      </c>
      <c r="D152" s="4" t="s">
        <v>559</v>
      </c>
      <c r="E152" s="5">
        <f>0</f>
        <v>0</v>
      </c>
      <c r="F152" s="5">
        <f>0</f>
        <v>0</v>
      </c>
      <c r="G152" s="5" t="s">
        <v>29</v>
      </c>
      <c r="H152" s="59">
        <f>0</f>
        <v>0</v>
      </c>
    </row>
    <row r="153" spans="1:8" ht="22.5" customHeight="1" x14ac:dyDescent="0.2">
      <c r="A153" s="43"/>
      <c r="B153" s="45"/>
      <c r="C153" s="13" t="s">
        <v>31</v>
      </c>
      <c r="D153" s="13" t="s">
        <v>93</v>
      </c>
      <c r="E153" s="3">
        <f>E154</f>
        <v>0</v>
      </c>
      <c r="F153" s="3">
        <f>F154</f>
        <v>0</v>
      </c>
      <c r="G153" s="3" t="s">
        <v>29</v>
      </c>
      <c r="H153" s="60">
        <f>H154</f>
        <v>0</v>
      </c>
    </row>
    <row r="154" spans="1:8" ht="22.5" customHeight="1" x14ac:dyDescent="0.2">
      <c r="A154" s="43"/>
      <c r="B154" s="45"/>
      <c r="C154" s="4" t="s">
        <v>30</v>
      </c>
      <c r="D154" s="4" t="s">
        <v>94</v>
      </c>
      <c r="E154" s="5">
        <f>0</f>
        <v>0</v>
      </c>
      <c r="F154" s="5">
        <f>0</f>
        <v>0</v>
      </c>
      <c r="G154" s="5" t="s">
        <v>29</v>
      </c>
      <c r="H154" s="59">
        <f>0</f>
        <v>0</v>
      </c>
    </row>
    <row r="155" spans="1:8" ht="22.5" customHeight="1" thickBot="1" x14ac:dyDescent="0.25">
      <c r="A155" s="37" t="s">
        <v>6</v>
      </c>
      <c r="B155" s="38"/>
      <c r="C155" s="38"/>
      <c r="D155" s="38"/>
      <c r="E155" s="55">
        <f>E137+E148+E153</f>
        <v>187807.53</v>
      </c>
      <c r="F155" s="55">
        <f>F137+F148+F153</f>
        <v>34995.690060000001</v>
      </c>
      <c r="G155" s="57" t="s">
        <v>577</v>
      </c>
      <c r="H155" s="62">
        <f>H137+H148+H153</f>
        <v>34995.690060000001</v>
      </c>
    </row>
    <row r="156" spans="1:8" ht="22.5" customHeight="1" x14ac:dyDescent="0.2">
      <c r="A156" s="39">
        <v>6</v>
      </c>
      <c r="B156" s="40" t="s">
        <v>11</v>
      </c>
      <c r="C156" s="13" t="s">
        <v>54</v>
      </c>
      <c r="D156" s="13" t="s">
        <v>346</v>
      </c>
      <c r="E156" s="3">
        <f>E157</f>
        <v>100</v>
      </c>
      <c r="F156" s="3">
        <f>F157</f>
        <v>0</v>
      </c>
      <c r="G156" s="3" t="s">
        <v>216</v>
      </c>
      <c r="H156" s="60">
        <f>H157</f>
        <v>0</v>
      </c>
    </row>
    <row r="157" spans="1:8" ht="22.5" customHeight="1" x14ac:dyDescent="0.2">
      <c r="A157" s="30"/>
      <c r="B157" s="41"/>
      <c r="C157" s="4" t="s">
        <v>30</v>
      </c>
      <c r="D157" s="4" t="s">
        <v>347</v>
      </c>
      <c r="E157" s="5">
        <f>E158</f>
        <v>100</v>
      </c>
      <c r="F157" s="5">
        <f>F158</f>
        <v>0</v>
      </c>
      <c r="G157" s="5" t="s">
        <v>216</v>
      </c>
      <c r="H157" s="59">
        <f>H158</f>
        <v>0</v>
      </c>
    </row>
    <row r="158" spans="1:8" ht="22.5" customHeight="1" x14ac:dyDescent="0.2">
      <c r="A158" s="30"/>
      <c r="B158" s="41"/>
      <c r="C158" s="4" t="s">
        <v>58</v>
      </c>
      <c r="D158" s="4" t="s">
        <v>348</v>
      </c>
      <c r="E158" s="5">
        <f>100</f>
        <v>100</v>
      </c>
      <c r="F158" s="5">
        <f>0</f>
        <v>0</v>
      </c>
      <c r="G158" s="5" t="s">
        <v>216</v>
      </c>
      <c r="H158" s="59">
        <f>0</f>
        <v>0</v>
      </c>
    </row>
    <row r="159" spans="1:8" ht="22.5" customHeight="1" x14ac:dyDescent="0.2">
      <c r="A159" s="30"/>
      <c r="B159" s="41"/>
      <c r="C159" s="13" t="s">
        <v>97</v>
      </c>
      <c r="D159" s="13" t="s">
        <v>349</v>
      </c>
      <c r="E159" s="3">
        <f>E160</f>
        <v>899</v>
      </c>
      <c r="F159" s="3">
        <f>F160</f>
        <v>140.73599999999999</v>
      </c>
      <c r="G159" s="3" t="s">
        <v>508</v>
      </c>
      <c r="H159" s="60">
        <f>H160</f>
        <v>140.73599999999999</v>
      </c>
    </row>
    <row r="160" spans="1:8" ht="22.5" customHeight="1" x14ac:dyDescent="0.2">
      <c r="A160" s="30"/>
      <c r="B160" s="41"/>
      <c r="C160" s="4" t="s">
        <v>30</v>
      </c>
      <c r="D160" s="4" t="s">
        <v>350</v>
      </c>
      <c r="E160" s="5">
        <f>E161</f>
        <v>899</v>
      </c>
      <c r="F160" s="5">
        <f>F161</f>
        <v>140.73599999999999</v>
      </c>
      <c r="G160" s="5" t="s">
        <v>508</v>
      </c>
      <c r="H160" s="59">
        <f>H161</f>
        <v>140.73599999999999</v>
      </c>
    </row>
    <row r="161" spans="1:8" ht="22.5" customHeight="1" x14ac:dyDescent="0.2">
      <c r="A161" s="30"/>
      <c r="B161" s="41"/>
      <c r="C161" s="4" t="s">
        <v>57</v>
      </c>
      <c r="D161" s="4" t="s">
        <v>351</v>
      </c>
      <c r="E161" s="5">
        <f>899</f>
        <v>899</v>
      </c>
      <c r="F161" s="5">
        <f>140.736</f>
        <v>140.73599999999999</v>
      </c>
      <c r="G161" s="5" t="s">
        <v>508</v>
      </c>
      <c r="H161" s="59">
        <f>140.736</f>
        <v>140.73599999999999</v>
      </c>
    </row>
    <row r="162" spans="1:8" ht="22.5" customHeight="1" thickBot="1" x14ac:dyDescent="0.25">
      <c r="A162" s="37" t="s">
        <v>6</v>
      </c>
      <c r="B162" s="38"/>
      <c r="C162" s="38"/>
      <c r="D162" s="38"/>
      <c r="E162" s="55">
        <f>E156+E159</f>
        <v>999</v>
      </c>
      <c r="F162" s="53">
        <f>F156+F159</f>
        <v>140.73599999999999</v>
      </c>
      <c r="G162" s="54" t="s">
        <v>465</v>
      </c>
      <c r="H162" s="61">
        <f>H156+H159</f>
        <v>140.73599999999999</v>
      </c>
    </row>
    <row r="163" spans="1:8" ht="22.5" customHeight="1" x14ac:dyDescent="0.2">
      <c r="A163" s="30">
        <v>7</v>
      </c>
      <c r="B163" s="31" t="s">
        <v>12</v>
      </c>
      <c r="C163" s="13" t="s">
        <v>42</v>
      </c>
      <c r="D163" s="13" t="s">
        <v>353</v>
      </c>
      <c r="E163" s="3">
        <f>E164+E168</f>
        <v>300</v>
      </c>
      <c r="F163" s="3">
        <f>F164+F168</f>
        <v>42.4</v>
      </c>
      <c r="G163" s="3" t="s">
        <v>224</v>
      </c>
      <c r="H163" s="60">
        <f>H164+H168</f>
        <v>42.4</v>
      </c>
    </row>
    <row r="164" spans="1:8" ht="22.5" customHeight="1" x14ac:dyDescent="0.2">
      <c r="A164" s="30"/>
      <c r="B164" s="31"/>
      <c r="C164" s="4" t="s">
        <v>30</v>
      </c>
      <c r="D164" s="4" t="s">
        <v>354</v>
      </c>
      <c r="E164" s="5">
        <f>E165</f>
        <v>250</v>
      </c>
      <c r="F164" s="5">
        <f>F165</f>
        <v>0</v>
      </c>
      <c r="G164" s="5" t="s">
        <v>216</v>
      </c>
      <c r="H164" s="59">
        <f>H165</f>
        <v>0</v>
      </c>
    </row>
    <row r="165" spans="1:8" ht="22.5" customHeight="1" x14ac:dyDescent="0.2">
      <c r="A165" s="30"/>
      <c r="B165" s="31"/>
      <c r="C165" s="4" t="s">
        <v>45</v>
      </c>
      <c r="D165" s="4" t="s">
        <v>355</v>
      </c>
      <c r="E165" s="5">
        <f>E166+E167</f>
        <v>250</v>
      </c>
      <c r="F165" s="5">
        <f>F166+F167</f>
        <v>0</v>
      </c>
      <c r="G165" s="5" t="s">
        <v>216</v>
      </c>
      <c r="H165" s="59">
        <f>H166+H167</f>
        <v>0</v>
      </c>
    </row>
    <row r="166" spans="1:8" ht="22.5" customHeight="1" x14ac:dyDescent="0.2">
      <c r="A166" s="30"/>
      <c r="B166" s="31"/>
      <c r="C166" s="4" t="s">
        <v>356</v>
      </c>
      <c r="D166" s="4" t="s">
        <v>357</v>
      </c>
      <c r="E166" s="5">
        <v>150</v>
      </c>
      <c r="F166" s="5">
        <v>0</v>
      </c>
      <c r="G166" s="5" t="s">
        <v>216</v>
      </c>
      <c r="H166" s="59">
        <v>0</v>
      </c>
    </row>
    <row r="167" spans="1:8" ht="22.5" customHeight="1" x14ac:dyDescent="0.2">
      <c r="A167" s="30"/>
      <c r="B167" s="31"/>
      <c r="C167" s="4" t="s">
        <v>358</v>
      </c>
      <c r="D167" s="4" t="s">
        <v>359</v>
      </c>
      <c r="E167" s="5">
        <v>100</v>
      </c>
      <c r="F167" s="5">
        <v>0</v>
      </c>
      <c r="G167" s="5" t="s">
        <v>216</v>
      </c>
      <c r="H167" s="59">
        <v>0</v>
      </c>
    </row>
    <row r="168" spans="1:8" ht="22.5" customHeight="1" x14ac:dyDescent="0.2">
      <c r="A168" s="30"/>
      <c r="B168" s="31"/>
      <c r="C168" s="4" t="s">
        <v>68</v>
      </c>
      <c r="D168" s="4" t="s">
        <v>360</v>
      </c>
      <c r="E168" s="5">
        <f>E169</f>
        <v>50</v>
      </c>
      <c r="F168" s="5">
        <f>F169</f>
        <v>42.4</v>
      </c>
      <c r="G168" s="5" t="s">
        <v>560</v>
      </c>
      <c r="H168" s="59">
        <f>H169</f>
        <v>42.4</v>
      </c>
    </row>
    <row r="169" spans="1:8" ht="22.5" customHeight="1" x14ac:dyDescent="0.2">
      <c r="A169" s="30"/>
      <c r="B169" s="31"/>
      <c r="C169" s="4" t="s">
        <v>71</v>
      </c>
      <c r="D169" s="4" t="s">
        <v>561</v>
      </c>
      <c r="E169" s="5">
        <f>50</f>
        <v>50</v>
      </c>
      <c r="F169" s="5">
        <f>42.4</f>
        <v>42.4</v>
      </c>
      <c r="G169" s="5" t="s">
        <v>560</v>
      </c>
      <c r="H169" s="59">
        <f>42.4</f>
        <v>42.4</v>
      </c>
    </row>
    <row r="170" spans="1:8" ht="22.5" customHeight="1" x14ac:dyDescent="0.2">
      <c r="A170" s="30"/>
      <c r="B170" s="31"/>
      <c r="C170" s="13" t="s">
        <v>28</v>
      </c>
      <c r="D170" s="13" t="s">
        <v>361</v>
      </c>
      <c r="E170" s="3">
        <f>E171</f>
        <v>0</v>
      </c>
      <c r="F170" s="3">
        <f>F171</f>
        <v>0</v>
      </c>
      <c r="G170" s="3" t="s">
        <v>29</v>
      </c>
      <c r="H170" s="60">
        <f>H171</f>
        <v>0</v>
      </c>
    </row>
    <row r="171" spans="1:8" ht="22.5" customHeight="1" x14ac:dyDescent="0.2">
      <c r="A171" s="30"/>
      <c r="B171" s="31"/>
      <c r="C171" s="4" t="s">
        <v>30</v>
      </c>
      <c r="D171" s="4" t="s">
        <v>362</v>
      </c>
      <c r="E171" s="5">
        <f>0</f>
        <v>0</v>
      </c>
      <c r="F171" s="5">
        <f>0</f>
        <v>0</v>
      </c>
      <c r="G171" s="5" t="s">
        <v>29</v>
      </c>
      <c r="H171" s="59">
        <f>0</f>
        <v>0</v>
      </c>
    </row>
    <row r="172" spans="1:8" ht="22.5" customHeight="1" thickBot="1" x14ac:dyDescent="0.25">
      <c r="A172" s="32" t="s">
        <v>6</v>
      </c>
      <c r="B172" s="33"/>
      <c r="C172" s="33"/>
      <c r="D172" s="34"/>
      <c r="E172" s="55">
        <f>E163+E170</f>
        <v>300</v>
      </c>
      <c r="F172" s="53">
        <f>F163+F170</f>
        <v>42.4</v>
      </c>
      <c r="G172" s="54" t="s">
        <v>224</v>
      </c>
      <c r="H172" s="61">
        <f>H163+H170</f>
        <v>42.4</v>
      </c>
    </row>
    <row r="173" spans="1:8" ht="22.5" customHeight="1" x14ac:dyDescent="0.2">
      <c r="A173" s="30">
        <v>8</v>
      </c>
      <c r="B173" s="31" t="s">
        <v>13</v>
      </c>
      <c r="C173" s="13" t="s">
        <v>42</v>
      </c>
      <c r="D173" s="13" t="s">
        <v>363</v>
      </c>
      <c r="E173" s="3">
        <f>E174+E178+E184+E185+E191+E197</f>
        <v>87207.9</v>
      </c>
      <c r="F173" s="3">
        <f>F174+F178+F184+F185+F191+F197</f>
        <v>10372.64</v>
      </c>
      <c r="G173" s="3" t="s">
        <v>562</v>
      </c>
      <c r="H173" s="60">
        <f>H174+H178+H184+H185+H191+H197</f>
        <v>10372.64</v>
      </c>
    </row>
    <row r="174" spans="1:8" ht="22.5" customHeight="1" x14ac:dyDescent="0.2">
      <c r="A174" s="30"/>
      <c r="B174" s="31"/>
      <c r="C174" s="4" t="s">
        <v>30</v>
      </c>
      <c r="D174" s="4" t="s">
        <v>563</v>
      </c>
      <c r="E174" s="5">
        <f>E175+E176+E177</f>
        <v>35825.449999999997</v>
      </c>
      <c r="F174" s="5">
        <f>F175+F176+F177</f>
        <v>5196.4699999999993</v>
      </c>
      <c r="G174" s="5" t="s">
        <v>553</v>
      </c>
      <c r="H174" s="59">
        <f>H175+H176+H177</f>
        <v>5196.4699999999993</v>
      </c>
    </row>
    <row r="175" spans="1:8" ht="22.5" customHeight="1" x14ac:dyDescent="0.2">
      <c r="A175" s="30"/>
      <c r="B175" s="31"/>
      <c r="C175" s="4" t="s">
        <v>57</v>
      </c>
      <c r="D175" s="4" t="s">
        <v>564</v>
      </c>
      <c r="E175" s="5">
        <f>21858.12</f>
        <v>21858.12</v>
      </c>
      <c r="F175" s="5">
        <f>3388.74</f>
        <v>3388.74</v>
      </c>
      <c r="G175" s="5" t="s">
        <v>565</v>
      </c>
      <c r="H175" s="59">
        <f>3388.74</f>
        <v>3388.74</v>
      </c>
    </row>
    <row r="176" spans="1:8" ht="22.5" customHeight="1" x14ac:dyDescent="0.2">
      <c r="A176" s="30"/>
      <c r="B176" s="31"/>
      <c r="C176" s="4" t="s">
        <v>58</v>
      </c>
      <c r="D176" s="4" t="s">
        <v>365</v>
      </c>
      <c r="E176" s="5">
        <f>126</f>
        <v>126</v>
      </c>
      <c r="F176" s="5">
        <f>0</f>
        <v>0</v>
      </c>
      <c r="G176" s="5" t="s">
        <v>216</v>
      </c>
      <c r="H176" s="59">
        <f>0</f>
        <v>0</v>
      </c>
    </row>
    <row r="177" spans="1:8" ht="22.5" customHeight="1" x14ac:dyDescent="0.2">
      <c r="A177" s="30"/>
      <c r="B177" s="31"/>
      <c r="C177" s="4" t="s">
        <v>45</v>
      </c>
      <c r="D177" s="4" t="s">
        <v>366</v>
      </c>
      <c r="E177" s="5">
        <f>13841.33</f>
        <v>13841.33</v>
      </c>
      <c r="F177" s="5">
        <f>1807.73</f>
        <v>1807.73</v>
      </c>
      <c r="G177" s="5" t="s">
        <v>473</v>
      </c>
      <c r="H177" s="59">
        <f>1807.73</f>
        <v>1807.73</v>
      </c>
    </row>
    <row r="178" spans="1:8" ht="22.5" customHeight="1" x14ac:dyDescent="0.2">
      <c r="A178" s="30"/>
      <c r="B178" s="31"/>
      <c r="C178" s="4" t="s">
        <v>27</v>
      </c>
      <c r="D178" s="4" t="s">
        <v>367</v>
      </c>
      <c r="E178" s="5">
        <f>E179+E180+E181+E182+E183</f>
        <v>1527.76</v>
      </c>
      <c r="F178" s="5">
        <f>F179+F180+F181+F182+F183</f>
        <v>544.29</v>
      </c>
      <c r="G178" s="5" t="s">
        <v>566</v>
      </c>
      <c r="H178" s="59">
        <f>H179+H180+H181+H182+H183</f>
        <v>544.29</v>
      </c>
    </row>
    <row r="179" spans="1:8" ht="22.5" customHeight="1" x14ac:dyDescent="0.2">
      <c r="A179" s="30"/>
      <c r="B179" s="31"/>
      <c r="C179" s="4" t="s">
        <v>86</v>
      </c>
      <c r="D179" s="4" t="s">
        <v>368</v>
      </c>
      <c r="E179" s="5">
        <f>0</f>
        <v>0</v>
      </c>
      <c r="F179" s="5">
        <f>0</f>
        <v>0</v>
      </c>
      <c r="G179" s="5" t="s">
        <v>29</v>
      </c>
      <c r="H179" s="59">
        <f>0</f>
        <v>0</v>
      </c>
    </row>
    <row r="180" spans="1:8" ht="22.5" customHeight="1" x14ac:dyDescent="0.2">
      <c r="A180" s="30"/>
      <c r="B180" s="31"/>
      <c r="C180" s="4" t="s">
        <v>98</v>
      </c>
      <c r="D180" s="4" t="s">
        <v>369</v>
      </c>
      <c r="E180" s="5">
        <f>1381.76</f>
        <v>1381.76</v>
      </c>
      <c r="F180" s="5">
        <f>498.4</f>
        <v>498.4</v>
      </c>
      <c r="G180" s="5" t="s">
        <v>567</v>
      </c>
      <c r="H180" s="59">
        <f>498.4</f>
        <v>498.4</v>
      </c>
    </row>
    <row r="181" spans="1:8" ht="22.5" customHeight="1" x14ac:dyDescent="0.2">
      <c r="A181" s="30"/>
      <c r="B181" s="31"/>
      <c r="C181" s="4" t="s">
        <v>142</v>
      </c>
      <c r="D181" s="4" t="s">
        <v>370</v>
      </c>
      <c r="E181" s="5">
        <f>52</f>
        <v>52</v>
      </c>
      <c r="F181" s="5">
        <f>45.89</f>
        <v>45.89</v>
      </c>
      <c r="G181" s="5" t="s">
        <v>568</v>
      </c>
      <c r="H181" s="59">
        <f>45.89</f>
        <v>45.89</v>
      </c>
    </row>
    <row r="182" spans="1:8" ht="22.5" customHeight="1" x14ac:dyDescent="0.2">
      <c r="A182" s="30"/>
      <c r="B182" s="31"/>
      <c r="C182" s="4" t="s">
        <v>183</v>
      </c>
      <c r="D182" s="4" t="s">
        <v>371</v>
      </c>
      <c r="E182" s="5">
        <f>94</f>
        <v>94</v>
      </c>
      <c r="F182" s="5">
        <f>0</f>
        <v>0</v>
      </c>
      <c r="G182" s="5" t="s">
        <v>216</v>
      </c>
      <c r="H182" s="59">
        <f>0</f>
        <v>0</v>
      </c>
    </row>
    <row r="183" spans="1:8" ht="22.5" customHeight="1" x14ac:dyDescent="0.2">
      <c r="A183" s="30"/>
      <c r="B183" s="31"/>
      <c r="C183" s="4" t="s">
        <v>201</v>
      </c>
      <c r="D183" s="4" t="s">
        <v>372</v>
      </c>
      <c r="E183" s="5">
        <f>0</f>
        <v>0</v>
      </c>
      <c r="F183" s="5">
        <f>0</f>
        <v>0</v>
      </c>
      <c r="G183" s="5" t="s">
        <v>29</v>
      </c>
      <c r="H183" s="59">
        <f>0</f>
        <v>0</v>
      </c>
    </row>
    <row r="184" spans="1:8" ht="22.5" customHeight="1" x14ac:dyDescent="0.2">
      <c r="A184" s="30"/>
      <c r="B184" s="31"/>
      <c r="C184" s="4" t="s">
        <v>68</v>
      </c>
      <c r="D184" s="4" t="s">
        <v>373</v>
      </c>
      <c r="E184" s="5">
        <f>0</f>
        <v>0</v>
      </c>
      <c r="F184" s="5">
        <f>0</f>
        <v>0</v>
      </c>
      <c r="G184" s="5" t="s">
        <v>29</v>
      </c>
      <c r="H184" s="59">
        <f>0</f>
        <v>0</v>
      </c>
    </row>
    <row r="185" spans="1:8" ht="22.5" customHeight="1" x14ac:dyDescent="0.2">
      <c r="A185" s="30"/>
      <c r="B185" s="31"/>
      <c r="C185" s="4" t="s">
        <v>73</v>
      </c>
      <c r="D185" s="4" t="s">
        <v>374</v>
      </c>
      <c r="E185" s="5">
        <f>E186+E187+E188+E189+E190</f>
        <v>48385.09</v>
      </c>
      <c r="F185" s="5">
        <f>F186+F187+F188+F189+F190</f>
        <v>4427.5200000000004</v>
      </c>
      <c r="G185" s="5" t="s">
        <v>569</v>
      </c>
      <c r="H185" s="59">
        <f>H186+H187+H188+H189+H190</f>
        <v>4427.5200000000004</v>
      </c>
    </row>
    <row r="186" spans="1:8" ht="22.5" customHeight="1" x14ac:dyDescent="0.2">
      <c r="A186" s="30"/>
      <c r="B186" s="31"/>
      <c r="C186" s="4" t="s">
        <v>75</v>
      </c>
      <c r="D186" s="4" t="s">
        <v>570</v>
      </c>
      <c r="E186" s="5">
        <f>0</f>
        <v>0</v>
      </c>
      <c r="F186" s="5">
        <f>0</f>
        <v>0</v>
      </c>
      <c r="G186" s="5" t="s">
        <v>29</v>
      </c>
      <c r="H186" s="59">
        <f>0</f>
        <v>0</v>
      </c>
    </row>
    <row r="187" spans="1:8" ht="22.5" customHeight="1" x14ac:dyDescent="0.2">
      <c r="A187" s="30"/>
      <c r="B187" s="31"/>
      <c r="C187" s="4" t="s">
        <v>222</v>
      </c>
      <c r="D187" s="4" t="s">
        <v>571</v>
      </c>
      <c r="E187" s="5">
        <f>27062.7</f>
        <v>27062.7</v>
      </c>
      <c r="F187" s="5">
        <f>10.77</f>
        <v>10.77</v>
      </c>
      <c r="G187" s="5" t="s">
        <v>572</v>
      </c>
      <c r="H187" s="59">
        <f>10.77</f>
        <v>10.77</v>
      </c>
    </row>
    <row r="188" spans="1:8" ht="22.5" customHeight="1" x14ac:dyDescent="0.2">
      <c r="A188" s="30"/>
      <c r="B188" s="31"/>
      <c r="C188" s="4" t="s">
        <v>105</v>
      </c>
      <c r="D188" s="4" t="s">
        <v>376</v>
      </c>
      <c r="E188" s="5">
        <f>21322.39</f>
        <v>21322.39</v>
      </c>
      <c r="F188" s="5">
        <f>4416.75</f>
        <v>4416.75</v>
      </c>
      <c r="G188" s="5" t="s">
        <v>573</v>
      </c>
      <c r="H188" s="59">
        <f>4416.75</f>
        <v>4416.75</v>
      </c>
    </row>
    <row r="189" spans="1:8" ht="22.5" customHeight="1" x14ac:dyDescent="0.2">
      <c r="A189" s="30"/>
      <c r="B189" s="31"/>
      <c r="C189" s="4" t="s">
        <v>377</v>
      </c>
      <c r="D189" s="4" t="s">
        <v>378</v>
      </c>
      <c r="E189" s="5">
        <f>0</f>
        <v>0</v>
      </c>
      <c r="F189" s="5">
        <f>0</f>
        <v>0</v>
      </c>
      <c r="G189" s="5" t="s">
        <v>29</v>
      </c>
      <c r="H189" s="59">
        <f>0</f>
        <v>0</v>
      </c>
    </row>
    <row r="190" spans="1:8" ht="22.5" customHeight="1" x14ac:dyDescent="0.2">
      <c r="A190" s="30"/>
      <c r="B190" s="31"/>
      <c r="C190" s="4" t="s">
        <v>574</v>
      </c>
      <c r="D190" s="4" t="s">
        <v>575</v>
      </c>
      <c r="E190" s="5">
        <f>0</f>
        <v>0</v>
      </c>
      <c r="F190" s="5">
        <f>0</f>
        <v>0</v>
      </c>
      <c r="G190" s="5" t="s">
        <v>29</v>
      </c>
      <c r="H190" s="59">
        <f>0</f>
        <v>0</v>
      </c>
    </row>
    <row r="191" spans="1:8" ht="22.5" customHeight="1" x14ac:dyDescent="0.2">
      <c r="A191" s="30"/>
      <c r="B191" s="31"/>
      <c r="C191" s="4" t="s">
        <v>76</v>
      </c>
      <c r="D191" s="4" t="s">
        <v>379</v>
      </c>
      <c r="E191" s="5">
        <f>E192+E193+E194+E195+E196</f>
        <v>295</v>
      </c>
      <c r="F191" s="5">
        <f>F192+F193+F194+F195+F196</f>
        <v>0</v>
      </c>
      <c r="G191" s="5" t="s">
        <v>216</v>
      </c>
      <c r="H191" s="59">
        <f>H192+H193+H194+H195+H196</f>
        <v>0</v>
      </c>
    </row>
    <row r="192" spans="1:8" ht="22.5" customHeight="1" x14ac:dyDescent="0.2">
      <c r="A192" s="30"/>
      <c r="B192" s="31"/>
      <c r="C192" s="4" t="s">
        <v>239</v>
      </c>
      <c r="D192" s="4" t="s">
        <v>380</v>
      </c>
      <c r="E192" s="5">
        <f>0</f>
        <v>0</v>
      </c>
      <c r="F192" s="5">
        <f>0</f>
        <v>0</v>
      </c>
      <c r="G192" s="5" t="s">
        <v>29</v>
      </c>
      <c r="H192" s="59">
        <f>0</f>
        <v>0</v>
      </c>
    </row>
    <row r="193" spans="1:8" ht="22.5" customHeight="1" x14ac:dyDescent="0.2">
      <c r="A193" s="30"/>
      <c r="B193" s="31"/>
      <c r="C193" s="4" t="s">
        <v>100</v>
      </c>
      <c r="D193" s="4" t="s">
        <v>381</v>
      </c>
      <c r="E193" s="5">
        <f>183</f>
        <v>183</v>
      </c>
      <c r="F193" s="5">
        <f>0</f>
        <v>0</v>
      </c>
      <c r="G193" s="5" t="s">
        <v>216</v>
      </c>
      <c r="H193" s="59">
        <f>0</f>
        <v>0</v>
      </c>
    </row>
    <row r="194" spans="1:8" ht="22.5" customHeight="1" x14ac:dyDescent="0.2">
      <c r="A194" s="30"/>
      <c r="B194" s="31"/>
      <c r="C194" s="4" t="s">
        <v>101</v>
      </c>
      <c r="D194" s="4" t="s">
        <v>382</v>
      </c>
      <c r="E194" s="5">
        <f>54</f>
        <v>54</v>
      </c>
      <c r="F194" s="5">
        <f>0</f>
        <v>0</v>
      </c>
      <c r="G194" s="5" t="s">
        <v>216</v>
      </c>
      <c r="H194" s="59">
        <f>0</f>
        <v>0</v>
      </c>
    </row>
    <row r="195" spans="1:8" ht="22.5" customHeight="1" x14ac:dyDescent="0.2">
      <c r="A195" s="30"/>
      <c r="B195" s="31"/>
      <c r="C195" s="4" t="s">
        <v>225</v>
      </c>
      <c r="D195" s="4" t="s">
        <v>383</v>
      </c>
      <c r="E195" s="5">
        <f>13</f>
        <v>13</v>
      </c>
      <c r="F195" s="5">
        <f>0</f>
        <v>0</v>
      </c>
      <c r="G195" s="5" t="s">
        <v>216</v>
      </c>
      <c r="H195" s="59">
        <f>0</f>
        <v>0</v>
      </c>
    </row>
    <row r="196" spans="1:8" ht="22.5" customHeight="1" x14ac:dyDescent="0.2">
      <c r="A196" s="30"/>
      <c r="B196" s="31"/>
      <c r="C196" s="4" t="s">
        <v>226</v>
      </c>
      <c r="D196" s="4" t="s">
        <v>576</v>
      </c>
      <c r="E196" s="5">
        <f>45</f>
        <v>45</v>
      </c>
      <c r="F196" s="5">
        <f>0</f>
        <v>0</v>
      </c>
      <c r="G196" s="5" t="s">
        <v>216</v>
      </c>
      <c r="H196" s="59">
        <f>0</f>
        <v>0</v>
      </c>
    </row>
    <row r="197" spans="1:8" ht="22.5" customHeight="1" x14ac:dyDescent="0.2">
      <c r="A197" s="30"/>
      <c r="B197" s="31"/>
      <c r="C197" s="4" t="s">
        <v>118</v>
      </c>
      <c r="D197" s="4" t="s">
        <v>384</v>
      </c>
      <c r="E197" s="5">
        <f>E198+E199+E200+E201</f>
        <v>1174.5999999999999</v>
      </c>
      <c r="F197" s="5">
        <f>F198+F199+F200+F201</f>
        <v>204.35999999999999</v>
      </c>
      <c r="G197" s="5" t="s">
        <v>268</v>
      </c>
      <c r="H197" s="59">
        <f>H198+H199+H200+H201</f>
        <v>204.35999999999999</v>
      </c>
    </row>
    <row r="198" spans="1:8" ht="22.5" customHeight="1" x14ac:dyDescent="0.2">
      <c r="A198" s="30"/>
      <c r="B198" s="31"/>
      <c r="C198" s="4" t="s">
        <v>122</v>
      </c>
      <c r="D198" s="4" t="s">
        <v>385</v>
      </c>
      <c r="E198" s="5">
        <f>975</f>
        <v>975</v>
      </c>
      <c r="F198" s="5">
        <f>181.04</f>
        <v>181.04</v>
      </c>
      <c r="G198" s="5" t="s">
        <v>577</v>
      </c>
      <c r="H198" s="59">
        <f>181.04</f>
        <v>181.04</v>
      </c>
    </row>
    <row r="199" spans="1:8" ht="22.5" customHeight="1" x14ac:dyDescent="0.2">
      <c r="A199" s="30"/>
      <c r="B199" s="31"/>
      <c r="C199" s="4" t="s">
        <v>123</v>
      </c>
      <c r="D199" s="4" t="s">
        <v>386</v>
      </c>
      <c r="E199" s="5">
        <f>199.6</f>
        <v>199.6</v>
      </c>
      <c r="F199" s="5">
        <f>23.32</f>
        <v>23.32</v>
      </c>
      <c r="G199" s="5" t="s">
        <v>578</v>
      </c>
      <c r="H199" s="59">
        <f>23.32</f>
        <v>23.32</v>
      </c>
    </row>
    <row r="200" spans="1:8" ht="22.5" customHeight="1" x14ac:dyDescent="0.2">
      <c r="A200" s="30"/>
      <c r="B200" s="31"/>
      <c r="C200" s="4" t="s">
        <v>579</v>
      </c>
      <c r="D200" s="4" t="s">
        <v>580</v>
      </c>
      <c r="E200" s="5">
        <f>0</f>
        <v>0</v>
      </c>
      <c r="F200" s="5">
        <f>0</f>
        <v>0</v>
      </c>
      <c r="G200" s="5" t="s">
        <v>29</v>
      </c>
      <c r="H200" s="59">
        <f>0</f>
        <v>0</v>
      </c>
    </row>
    <row r="201" spans="1:8" ht="22.5" customHeight="1" x14ac:dyDescent="0.2">
      <c r="A201" s="30"/>
      <c r="B201" s="31"/>
      <c r="C201" s="4" t="s">
        <v>388</v>
      </c>
      <c r="D201" s="4" t="s">
        <v>389</v>
      </c>
      <c r="E201" s="5">
        <f>0</f>
        <v>0</v>
      </c>
      <c r="F201" s="5">
        <f>0</f>
        <v>0</v>
      </c>
      <c r="G201" s="5" t="s">
        <v>29</v>
      </c>
      <c r="H201" s="59">
        <f>0</f>
        <v>0</v>
      </c>
    </row>
    <row r="202" spans="1:8" ht="22.5" customHeight="1" x14ac:dyDescent="0.2">
      <c r="A202" s="30"/>
      <c r="B202" s="31"/>
      <c r="C202" s="13" t="s">
        <v>54</v>
      </c>
      <c r="D202" s="13" t="s">
        <v>390</v>
      </c>
      <c r="E202" s="3">
        <f>E203+E206+E208+E213</f>
        <v>39374.939999999995</v>
      </c>
      <c r="F202" s="3">
        <f>F203+F206+F208+F213</f>
        <v>19.798999999999999</v>
      </c>
      <c r="G202" s="3" t="s">
        <v>375</v>
      </c>
      <c r="H202" s="60">
        <f>H203+H206+H208+H213</f>
        <v>19.798999999999999</v>
      </c>
    </row>
    <row r="203" spans="1:8" ht="22.5" customHeight="1" x14ac:dyDescent="0.2">
      <c r="A203" s="30"/>
      <c r="B203" s="31"/>
      <c r="C203" s="4" t="s">
        <v>30</v>
      </c>
      <c r="D203" s="4" t="s">
        <v>392</v>
      </c>
      <c r="E203" s="5">
        <f>E204+E205</f>
        <v>564.14</v>
      </c>
      <c r="F203" s="5">
        <f>F204+F205</f>
        <v>19.798999999999999</v>
      </c>
      <c r="G203" s="5" t="s">
        <v>581</v>
      </c>
      <c r="H203" s="59">
        <f>H204+H205</f>
        <v>19.798999999999999</v>
      </c>
    </row>
    <row r="204" spans="1:8" ht="22.5" customHeight="1" x14ac:dyDescent="0.2">
      <c r="A204" s="30"/>
      <c r="B204" s="31"/>
      <c r="C204" s="4" t="s">
        <v>57</v>
      </c>
      <c r="D204" s="4" t="s">
        <v>393</v>
      </c>
      <c r="E204" s="5">
        <f>140.9</f>
        <v>140.9</v>
      </c>
      <c r="F204" s="5">
        <f>19.799</f>
        <v>19.798999999999999</v>
      </c>
      <c r="G204" s="5" t="s">
        <v>465</v>
      </c>
      <c r="H204" s="59">
        <f>19.799</f>
        <v>19.798999999999999</v>
      </c>
    </row>
    <row r="205" spans="1:8" ht="22.5" customHeight="1" x14ac:dyDescent="0.2">
      <c r="A205" s="30"/>
      <c r="B205" s="31"/>
      <c r="C205" s="4" t="s">
        <v>58</v>
      </c>
      <c r="D205" s="4" t="s">
        <v>394</v>
      </c>
      <c r="E205" s="5">
        <f>423.24</f>
        <v>423.24</v>
      </c>
      <c r="F205" s="5">
        <f>0</f>
        <v>0</v>
      </c>
      <c r="G205" s="5" t="s">
        <v>216</v>
      </c>
      <c r="H205" s="59">
        <f>0</f>
        <v>0</v>
      </c>
    </row>
    <row r="206" spans="1:8" ht="22.5" customHeight="1" x14ac:dyDescent="0.2">
      <c r="A206" s="30"/>
      <c r="B206" s="31"/>
      <c r="C206" s="4" t="s">
        <v>27</v>
      </c>
      <c r="D206" s="4" t="s">
        <v>395</v>
      </c>
      <c r="E206" s="5">
        <f>E207</f>
        <v>38441.199999999997</v>
      </c>
      <c r="F206" s="5">
        <f>F207</f>
        <v>0</v>
      </c>
      <c r="G206" s="5" t="s">
        <v>216</v>
      </c>
      <c r="H206" s="59">
        <f>H207</f>
        <v>0</v>
      </c>
    </row>
    <row r="207" spans="1:8" ht="22.5" customHeight="1" x14ac:dyDescent="0.2">
      <c r="A207" s="30"/>
      <c r="B207" s="31"/>
      <c r="C207" s="4" t="s">
        <v>86</v>
      </c>
      <c r="D207" s="4" t="s">
        <v>396</v>
      </c>
      <c r="E207" s="5">
        <f>38441.2</f>
        <v>38441.199999999997</v>
      </c>
      <c r="F207" s="5">
        <f>0</f>
        <v>0</v>
      </c>
      <c r="G207" s="5" t="s">
        <v>216</v>
      </c>
      <c r="H207" s="59">
        <f>0</f>
        <v>0</v>
      </c>
    </row>
    <row r="208" spans="1:8" ht="22.5" customHeight="1" x14ac:dyDescent="0.2">
      <c r="A208" s="30"/>
      <c r="B208" s="31"/>
      <c r="C208" s="4" t="s">
        <v>68</v>
      </c>
      <c r="D208" s="4" t="s">
        <v>397</v>
      </c>
      <c r="E208" s="5">
        <f>E209+E210+E211+E212</f>
        <v>369.6</v>
      </c>
      <c r="F208" s="5">
        <f>F209+F210+F211+F212</f>
        <v>0</v>
      </c>
      <c r="G208" s="5" t="s">
        <v>216</v>
      </c>
      <c r="H208" s="59">
        <f>H209+H210+H211+H212</f>
        <v>0</v>
      </c>
    </row>
    <row r="209" spans="1:8" ht="22.5" customHeight="1" x14ac:dyDescent="0.2">
      <c r="A209" s="30"/>
      <c r="B209" s="31"/>
      <c r="C209" s="4" t="s">
        <v>71</v>
      </c>
      <c r="D209" s="4" t="s">
        <v>399</v>
      </c>
      <c r="E209" s="5">
        <f>9.6</f>
        <v>9.6</v>
      </c>
      <c r="F209" s="5">
        <f>0</f>
        <v>0</v>
      </c>
      <c r="G209" s="5" t="s">
        <v>216</v>
      </c>
      <c r="H209" s="59">
        <f>0</f>
        <v>0</v>
      </c>
    </row>
    <row r="210" spans="1:8" ht="22.5" customHeight="1" x14ac:dyDescent="0.2">
      <c r="A210" s="30"/>
      <c r="B210" s="31"/>
      <c r="C210" s="4" t="s">
        <v>72</v>
      </c>
      <c r="D210" s="4" t="s">
        <v>400</v>
      </c>
      <c r="E210" s="5">
        <f>60</f>
        <v>60</v>
      </c>
      <c r="F210" s="5">
        <f>0</f>
        <v>0</v>
      </c>
      <c r="G210" s="5" t="s">
        <v>216</v>
      </c>
      <c r="H210" s="59">
        <f>0</f>
        <v>0</v>
      </c>
    </row>
    <row r="211" spans="1:8" ht="22.5" customHeight="1" x14ac:dyDescent="0.2">
      <c r="A211" s="30"/>
      <c r="B211" s="31"/>
      <c r="C211" s="4" t="s">
        <v>90</v>
      </c>
      <c r="D211" s="4" t="s">
        <v>401</v>
      </c>
      <c r="E211" s="5">
        <f>0</f>
        <v>0</v>
      </c>
      <c r="F211" s="5">
        <f>0</f>
        <v>0</v>
      </c>
      <c r="G211" s="5" t="s">
        <v>29</v>
      </c>
      <c r="H211" s="59">
        <f>0</f>
        <v>0</v>
      </c>
    </row>
    <row r="212" spans="1:8" ht="22.5" customHeight="1" x14ac:dyDescent="0.2">
      <c r="A212" s="30"/>
      <c r="B212" s="31"/>
      <c r="C212" s="4" t="s">
        <v>209</v>
      </c>
      <c r="D212" s="4" t="s">
        <v>402</v>
      </c>
      <c r="E212" s="5">
        <f>300</f>
        <v>300</v>
      </c>
      <c r="F212" s="5">
        <f>0</f>
        <v>0</v>
      </c>
      <c r="G212" s="5" t="s">
        <v>216</v>
      </c>
      <c r="H212" s="59">
        <f>0</f>
        <v>0</v>
      </c>
    </row>
    <row r="213" spans="1:8" ht="22.5" customHeight="1" x14ac:dyDescent="0.2">
      <c r="A213" s="30"/>
      <c r="B213" s="31"/>
      <c r="C213" s="4" t="s">
        <v>76</v>
      </c>
      <c r="D213" s="4" t="s">
        <v>403</v>
      </c>
      <c r="E213" s="5">
        <f>0</f>
        <v>0</v>
      </c>
      <c r="F213" s="5">
        <f>0</f>
        <v>0</v>
      </c>
      <c r="G213" s="5" t="s">
        <v>29</v>
      </c>
      <c r="H213" s="59">
        <f>0</f>
        <v>0</v>
      </c>
    </row>
    <row r="214" spans="1:8" ht="22.5" customHeight="1" x14ac:dyDescent="0.2">
      <c r="A214" s="30"/>
      <c r="B214" s="31"/>
      <c r="C214" s="13" t="s">
        <v>31</v>
      </c>
      <c r="D214" s="13" t="s">
        <v>404</v>
      </c>
      <c r="E214" s="3">
        <f>E215+E218+E219</f>
        <v>4612.5200000000004</v>
      </c>
      <c r="F214" s="3">
        <f>F215+F218+F219</f>
        <v>0</v>
      </c>
      <c r="G214" s="3" t="s">
        <v>216</v>
      </c>
      <c r="H214" s="60">
        <f>H215+H218+H219</f>
        <v>0</v>
      </c>
    </row>
    <row r="215" spans="1:8" ht="22.5" customHeight="1" x14ac:dyDescent="0.2">
      <c r="A215" s="30"/>
      <c r="B215" s="31"/>
      <c r="C215" s="4" t="s">
        <v>30</v>
      </c>
      <c r="D215" s="4" t="s">
        <v>405</v>
      </c>
      <c r="E215" s="5">
        <f>E216+E217</f>
        <v>4044.8</v>
      </c>
      <c r="F215" s="5">
        <f>F216+F217</f>
        <v>0</v>
      </c>
      <c r="G215" s="5" t="s">
        <v>216</v>
      </c>
      <c r="H215" s="59">
        <f>H216+H217</f>
        <v>0</v>
      </c>
    </row>
    <row r="216" spans="1:8" ht="22.5" customHeight="1" x14ac:dyDescent="0.2">
      <c r="A216" s="30"/>
      <c r="B216" s="31"/>
      <c r="C216" s="4" t="s">
        <v>57</v>
      </c>
      <c r="D216" s="4" t="s">
        <v>406</v>
      </c>
      <c r="E216" s="5">
        <f>1966.16</f>
        <v>1966.16</v>
      </c>
      <c r="F216" s="5">
        <f>0</f>
        <v>0</v>
      </c>
      <c r="G216" s="5" t="s">
        <v>216</v>
      </c>
      <c r="H216" s="59">
        <f>0</f>
        <v>0</v>
      </c>
    </row>
    <row r="217" spans="1:8" ht="22.5" customHeight="1" x14ac:dyDescent="0.2">
      <c r="A217" s="30"/>
      <c r="B217" s="31"/>
      <c r="C217" s="4" t="s">
        <v>58</v>
      </c>
      <c r="D217" s="4" t="s">
        <v>407</v>
      </c>
      <c r="E217" s="5">
        <f>2078.64</f>
        <v>2078.64</v>
      </c>
      <c r="F217" s="5">
        <f>0</f>
        <v>0</v>
      </c>
      <c r="G217" s="5" t="s">
        <v>216</v>
      </c>
      <c r="H217" s="59">
        <f>0</f>
        <v>0</v>
      </c>
    </row>
    <row r="218" spans="1:8" ht="22.5" customHeight="1" x14ac:dyDescent="0.2">
      <c r="A218" s="30"/>
      <c r="B218" s="31"/>
      <c r="C218" s="4" t="s">
        <v>27</v>
      </c>
      <c r="D218" s="4" t="s">
        <v>408</v>
      </c>
      <c r="E218" s="5">
        <f>0</f>
        <v>0</v>
      </c>
      <c r="F218" s="5">
        <f>0</f>
        <v>0</v>
      </c>
      <c r="G218" s="5" t="s">
        <v>29</v>
      </c>
      <c r="H218" s="59">
        <f>0</f>
        <v>0</v>
      </c>
    </row>
    <row r="219" spans="1:8" ht="22.5" customHeight="1" x14ac:dyDescent="0.2">
      <c r="A219" s="30"/>
      <c r="B219" s="31"/>
      <c r="C219" s="4" t="s">
        <v>68</v>
      </c>
      <c r="D219" s="4" t="s">
        <v>409</v>
      </c>
      <c r="E219" s="5">
        <f>E220+E221+E222+E223+E224</f>
        <v>567.72</v>
      </c>
      <c r="F219" s="5">
        <f>F220+F221+F222+F223+F224</f>
        <v>0</v>
      </c>
      <c r="G219" s="5" t="s">
        <v>216</v>
      </c>
      <c r="H219" s="59">
        <f>H220+H221+H222+H223+H224</f>
        <v>0</v>
      </c>
    </row>
    <row r="220" spans="1:8" ht="22.5" customHeight="1" x14ac:dyDescent="0.2">
      <c r="A220" s="30"/>
      <c r="B220" s="31"/>
      <c r="C220" s="4" t="s">
        <v>71</v>
      </c>
      <c r="D220" s="4" t="s">
        <v>410</v>
      </c>
      <c r="E220" s="5">
        <f>567.72</f>
        <v>567.72</v>
      </c>
      <c r="F220" s="5">
        <f>0</f>
        <v>0</v>
      </c>
      <c r="G220" s="5" t="s">
        <v>216</v>
      </c>
      <c r="H220" s="59">
        <f>0</f>
        <v>0</v>
      </c>
    </row>
    <row r="221" spans="1:8" ht="22.5" customHeight="1" x14ac:dyDescent="0.2">
      <c r="A221" s="30"/>
      <c r="B221" s="31"/>
      <c r="C221" s="4" t="s">
        <v>72</v>
      </c>
      <c r="D221" s="4" t="s">
        <v>411</v>
      </c>
      <c r="E221" s="5">
        <f>0</f>
        <v>0</v>
      </c>
      <c r="F221" s="5">
        <f>0</f>
        <v>0</v>
      </c>
      <c r="G221" s="5" t="s">
        <v>29</v>
      </c>
      <c r="H221" s="59">
        <f>0</f>
        <v>0</v>
      </c>
    </row>
    <row r="222" spans="1:8" ht="22.5" customHeight="1" x14ac:dyDescent="0.2">
      <c r="A222" s="30"/>
      <c r="B222" s="31"/>
      <c r="C222" s="4" t="s">
        <v>90</v>
      </c>
      <c r="D222" s="4" t="s">
        <v>412</v>
      </c>
      <c r="E222" s="5">
        <f>0</f>
        <v>0</v>
      </c>
      <c r="F222" s="5">
        <f>0</f>
        <v>0</v>
      </c>
      <c r="G222" s="5" t="s">
        <v>29</v>
      </c>
      <c r="H222" s="59">
        <f>0</f>
        <v>0</v>
      </c>
    </row>
    <row r="223" spans="1:8" ht="22.5" customHeight="1" x14ac:dyDescent="0.2">
      <c r="A223" s="30"/>
      <c r="B223" s="31"/>
      <c r="C223" s="4" t="s">
        <v>209</v>
      </c>
      <c r="D223" s="4" t="s">
        <v>413</v>
      </c>
      <c r="E223" s="5">
        <f>0</f>
        <v>0</v>
      </c>
      <c r="F223" s="5">
        <f>0</f>
        <v>0</v>
      </c>
      <c r="G223" s="5" t="s">
        <v>29</v>
      </c>
      <c r="H223" s="59">
        <f>0</f>
        <v>0</v>
      </c>
    </row>
    <row r="224" spans="1:8" ht="22.5" customHeight="1" x14ac:dyDescent="0.2">
      <c r="A224" s="30"/>
      <c r="B224" s="31"/>
      <c r="C224" s="4" t="s">
        <v>414</v>
      </c>
      <c r="D224" s="4" t="s">
        <v>415</v>
      </c>
      <c r="E224" s="5">
        <f>0</f>
        <v>0</v>
      </c>
      <c r="F224" s="5">
        <f>0</f>
        <v>0</v>
      </c>
      <c r="G224" s="5" t="s">
        <v>29</v>
      </c>
      <c r="H224" s="59">
        <f>0</f>
        <v>0</v>
      </c>
    </row>
    <row r="225" spans="1:8" ht="22.5" customHeight="1" x14ac:dyDescent="0.2">
      <c r="A225" s="30"/>
      <c r="B225" s="31"/>
      <c r="C225" s="13" t="s">
        <v>97</v>
      </c>
      <c r="D225" s="13" t="s">
        <v>416</v>
      </c>
      <c r="E225" s="3">
        <f>E226</f>
        <v>4530.869999999999</v>
      </c>
      <c r="F225" s="3">
        <f>F226</f>
        <v>219.31</v>
      </c>
      <c r="G225" s="3" t="s">
        <v>458</v>
      </c>
      <c r="H225" s="60">
        <f>H226</f>
        <v>219.31</v>
      </c>
    </row>
    <row r="226" spans="1:8" ht="22.5" customHeight="1" x14ac:dyDescent="0.2">
      <c r="A226" s="30"/>
      <c r="B226" s="31"/>
      <c r="C226" s="4" t="s">
        <v>30</v>
      </c>
      <c r="D226" s="4" t="s">
        <v>417</v>
      </c>
      <c r="E226" s="5">
        <f>E227+E228+E229+E230+E231+E232+E233+E234+E235+E236+E237</f>
        <v>4530.869999999999</v>
      </c>
      <c r="F226" s="5">
        <f>F227+F228+F229+F230+F231+F232+F233+F234+F235+F236+F237</f>
        <v>219.31</v>
      </c>
      <c r="G226" s="5" t="s">
        <v>458</v>
      </c>
      <c r="H226" s="59">
        <f>H227+H228+H229+H230+H231+H232+H233+H234+H235+H236+H237</f>
        <v>219.31</v>
      </c>
    </row>
    <row r="227" spans="1:8" ht="22.5" customHeight="1" x14ac:dyDescent="0.2">
      <c r="A227" s="30"/>
      <c r="B227" s="31"/>
      <c r="C227" s="4" t="s">
        <v>57</v>
      </c>
      <c r="D227" s="4" t="s">
        <v>418</v>
      </c>
      <c r="E227" s="5">
        <f>0</f>
        <v>0</v>
      </c>
      <c r="F227" s="5">
        <f>0</f>
        <v>0</v>
      </c>
      <c r="G227" s="5" t="s">
        <v>29</v>
      </c>
      <c r="H227" s="59">
        <f>0</f>
        <v>0</v>
      </c>
    </row>
    <row r="228" spans="1:8" ht="22.5" customHeight="1" x14ac:dyDescent="0.2">
      <c r="A228" s="30"/>
      <c r="B228" s="31"/>
      <c r="C228" s="4" t="s">
        <v>58</v>
      </c>
      <c r="D228" s="4" t="s">
        <v>419</v>
      </c>
      <c r="E228" s="5">
        <f>103.74</f>
        <v>103.74</v>
      </c>
      <c r="F228" s="5">
        <f>0</f>
        <v>0</v>
      </c>
      <c r="G228" s="5" t="s">
        <v>216</v>
      </c>
      <c r="H228" s="59">
        <f>0</f>
        <v>0</v>
      </c>
    </row>
    <row r="229" spans="1:8" ht="22.5" customHeight="1" x14ac:dyDescent="0.2">
      <c r="A229" s="30"/>
      <c r="B229" s="31"/>
      <c r="C229" s="4" t="s">
        <v>45</v>
      </c>
      <c r="D229" s="4" t="s">
        <v>420</v>
      </c>
      <c r="E229" s="5">
        <f>0</f>
        <v>0</v>
      </c>
      <c r="F229" s="5">
        <f>0</f>
        <v>0</v>
      </c>
      <c r="G229" s="5" t="s">
        <v>29</v>
      </c>
      <c r="H229" s="59">
        <f>0</f>
        <v>0</v>
      </c>
    </row>
    <row r="230" spans="1:8" ht="22.5" customHeight="1" x14ac:dyDescent="0.2">
      <c r="A230" s="30"/>
      <c r="B230" s="31"/>
      <c r="C230" s="4" t="s">
        <v>46</v>
      </c>
      <c r="D230" s="4" t="s">
        <v>421</v>
      </c>
      <c r="E230" s="5">
        <f>65</f>
        <v>65</v>
      </c>
      <c r="F230" s="5">
        <f>0</f>
        <v>0</v>
      </c>
      <c r="G230" s="5" t="s">
        <v>216</v>
      </c>
      <c r="H230" s="59">
        <f>0</f>
        <v>0</v>
      </c>
    </row>
    <row r="231" spans="1:8" ht="22.5" customHeight="1" x14ac:dyDescent="0.2">
      <c r="A231" s="30"/>
      <c r="B231" s="31"/>
      <c r="C231" s="4" t="s">
        <v>84</v>
      </c>
      <c r="D231" s="4" t="s">
        <v>422</v>
      </c>
      <c r="E231" s="5">
        <f>4306.73</f>
        <v>4306.7299999999996</v>
      </c>
      <c r="F231" s="5">
        <f>206.31</f>
        <v>206.31</v>
      </c>
      <c r="G231" s="5" t="s">
        <v>458</v>
      </c>
      <c r="H231" s="59">
        <f>206.31</f>
        <v>206.31</v>
      </c>
    </row>
    <row r="232" spans="1:8" ht="22.5" customHeight="1" x14ac:dyDescent="0.2">
      <c r="A232" s="30"/>
      <c r="B232" s="31"/>
      <c r="C232" s="4" t="s">
        <v>115</v>
      </c>
      <c r="D232" s="4" t="s">
        <v>423</v>
      </c>
      <c r="E232" s="5">
        <f>0</f>
        <v>0</v>
      </c>
      <c r="F232" s="5">
        <f>0</f>
        <v>0</v>
      </c>
      <c r="G232" s="5" t="s">
        <v>29</v>
      </c>
      <c r="H232" s="59">
        <f>0</f>
        <v>0</v>
      </c>
    </row>
    <row r="233" spans="1:8" ht="22.5" customHeight="1" x14ac:dyDescent="0.2">
      <c r="A233" s="30"/>
      <c r="B233" s="31"/>
      <c r="C233" s="4" t="s">
        <v>116</v>
      </c>
      <c r="D233" s="4" t="s">
        <v>424</v>
      </c>
      <c r="E233" s="5">
        <f>10</f>
        <v>10</v>
      </c>
      <c r="F233" s="5">
        <f>0</f>
        <v>0</v>
      </c>
      <c r="G233" s="5" t="s">
        <v>216</v>
      </c>
      <c r="H233" s="59">
        <f>0</f>
        <v>0</v>
      </c>
    </row>
    <row r="234" spans="1:8" ht="22.5" customHeight="1" x14ac:dyDescent="0.2">
      <c r="A234" s="30"/>
      <c r="B234" s="31"/>
      <c r="C234" s="4" t="s">
        <v>157</v>
      </c>
      <c r="D234" s="4" t="s">
        <v>425</v>
      </c>
      <c r="E234" s="5">
        <f>20</f>
        <v>20</v>
      </c>
      <c r="F234" s="5">
        <f>0</f>
        <v>0</v>
      </c>
      <c r="G234" s="5" t="s">
        <v>216</v>
      </c>
      <c r="H234" s="59">
        <f>0</f>
        <v>0</v>
      </c>
    </row>
    <row r="235" spans="1:8" ht="22.5" customHeight="1" x14ac:dyDescent="0.2">
      <c r="A235" s="30"/>
      <c r="B235" s="31"/>
      <c r="C235" s="4" t="s">
        <v>160</v>
      </c>
      <c r="D235" s="4" t="s">
        <v>426</v>
      </c>
      <c r="E235" s="5">
        <f>25.4</f>
        <v>25.4</v>
      </c>
      <c r="F235" s="5">
        <f>13</f>
        <v>13</v>
      </c>
      <c r="G235" s="5" t="s">
        <v>582</v>
      </c>
      <c r="H235" s="59">
        <f>13</f>
        <v>13</v>
      </c>
    </row>
    <row r="236" spans="1:8" ht="22.5" customHeight="1" x14ac:dyDescent="0.2">
      <c r="A236" s="30"/>
      <c r="B236" s="31"/>
      <c r="C236" s="4" t="s">
        <v>48</v>
      </c>
      <c r="D236" s="4" t="s">
        <v>427</v>
      </c>
      <c r="E236" s="5">
        <f>0</f>
        <v>0</v>
      </c>
      <c r="F236" s="5">
        <f>0</f>
        <v>0</v>
      </c>
      <c r="G236" s="5" t="s">
        <v>29</v>
      </c>
      <c r="H236" s="59">
        <f>0</f>
        <v>0</v>
      </c>
    </row>
    <row r="237" spans="1:8" ht="22.5" customHeight="1" x14ac:dyDescent="0.2">
      <c r="A237" s="30"/>
      <c r="B237" s="31"/>
      <c r="C237" s="4" t="s">
        <v>428</v>
      </c>
      <c r="D237" s="4" t="s">
        <v>429</v>
      </c>
      <c r="E237" s="5">
        <f>0</f>
        <v>0</v>
      </c>
      <c r="F237" s="5">
        <f>0</f>
        <v>0</v>
      </c>
      <c r="G237" s="5" t="s">
        <v>29</v>
      </c>
      <c r="H237" s="59">
        <f>0</f>
        <v>0</v>
      </c>
    </row>
    <row r="238" spans="1:8" ht="22.5" customHeight="1" x14ac:dyDescent="0.2">
      <c r="A238" s="30"/>
      <c r="B238" s="31"/>
      <c r="C238" s="13" t="s">
        <v>28</v>
      </c>
      <c r="D238" s="13" t="s">
        <v>430</v>
      </c>
      <c r="E238" s="3">
        <f>E239</f>
        <v>990.2</v>
      </c>
      <c r="F238" s="3">
        <f>F239</f>
        <v>0</v>
      </c>
      <c r="G238" s="3" t="s">
        <v>216</v>
      </c>
      <c r="H238" s="60">
        <f>H239</f>
        <v>0</v>
      </c>
    </row>
    <row r="239" spans="1:8" ht="22.5" customHeight="1" x14ac:dyDescent="0.2">
      <c r="A239" s="30"/>
      <c r="B239" s="31"/>
      <c r="C239" s="4" t="s">
        <v>30</v>
      </c>
      <c r="D239" s="4" t="s">
        <v>431</v>
      </c>
      <c r="E239" s="5">
        <f>E240+E241+E242</f>
        <v>990.2</v>
      </c>
      <c r="F239" s="5">
        <f>F240+F241+F242</f>
        <v>0</v>
      </c>
      <c r="G239" s="5" t="s">
        <v>216</v>
      </c>
      <c r="H239" s="59">
        <f>H240+H241+H242</f>
        <v>0</v>
      </c>
    </row>
    <row r="240" spans="1:8" ht="22.5" customHeight="1" x14ac:dyDescent="0.2">
      <c r="A240" s="30"/>
      <c r="B240" s="31"/>
      <c r="C240" s="4" t="s">
        <v>57</v>
      </c>
      <c r="D240" s="4" t="s">
        <v>432</v>
      </c>
      <c r="E240" s="5">
        <f>990.2</f>
        <v>990.2</v>
      </c>
      <c r="F240" s="5">
        <f>0</f>
        <v>0</v>
      </c>
      <c r="G240" s="5" t="s">
        <v>216</v>
      </c>
      <c r="H240" s="59">
        <f>0</f>
        <v>0</v>
      </c>
    </row>
    <row r="241" spans="1:8" ht="22.5" customHeight="1" x14ac:dyDescent="0.2">
      <c r="A241" s="30"/>
      <c r="B241" s="31"/>
      <c r="C241" s="4" t="s">
        <v>58</v>
      </c>
      <c r="D241" s="4" t="s">
        <v>433</v>
      </c>
      <c r="E241" s="5">
        <f>0</f>
        <v>0</v>
      </c>
      <c r="F241" s="5">
        <f>0</f>
        <v>0</v>
      </c>
      <c r="G241" s="5" t="s">
        <v>29</v>
      </c>
      <c r="H241" s="59">
        <f>0</f>
        <v>0</v>
      </c>
    </row>
    <row r="242" spans="1:8" ht="22.5" customHeight="1" x14ac:dyDescent="0.2">
      <c r="A242" s="30"/>
      <c r="B242" s="31"/>
      <c r="C242" s="4" t="s">
        <v>45</v>
      </c>
      <c r="D242" s="4" t="s">
        <v>434</v>
      </c>
      <c r="E242" s="5">
        <f>0</f>
        <v>0</v>
      </c>
      <c r="F242" s="5">
        <f>0</f>
        <v>0</v>
      </c>
      <c r="G242" s="5" t="s">
        <v>29</v>
      </c>
      <c r="H242" s="59">
        <f>0</f>
        <v>0</v>
      </c>
    </row>
    <row r="243" spans="1:8" ht="22.5" customHeight="1" x14ac:dyDescent="0.2">
      <c r="A243" s="30"/>
      <c r="B243" s="31"/>
      <c r="C243" s="13" t="s">
        <v>135</v>
      </c>
      <c r="D243" s="13" t="s">
        <v>93</v>
      </c>
      <c r="E243" s="3">
        <f>E244</f>
        <v>37463.379999999997</v>
      </c>
      <c r="F243" s="3">
        <f>F244</f>
        <v>7292.32</v>
      </c>
      <c r="G243" s="3" t="s">
        <v>251</v>
      </c>
      <c r="H243" s="60">
        <f>H244</f>
        <v>7292.32</v>
      </c>
    </row>
    <row r="244" spans="1:8" ht="22.5" customHeight="1" x14ac:dyDescent="0.2">
      <c r="A244" s="30"/>
      <c r="B244" s="31"/>
      <c r="C244" s="4" t="s">
        <v>30</v>
      </c>
      <c r="D244" s="4" t="s">
        <v>94</v>
      </c>
      <c r="E244" s="5">
        <f>E245</f>
        <v>37463.379999999997</v>
      </c>
      <c r="F244" s="5">
        <f>F245</f>
        <v>7292.32</v>
      </c>
      <c r="G244" s="5" t="s">
        <v>251</v>
      </c>
      <c r="H244" s="59">
        <f>H245</f>
        <v>7292.32</v>
      </c>
    </row>
    <row r="245" spans="1:8" ht="22.5" customHeight="1" x14ac:dyDescent="0.2">
      <c r="A245" s="30"/>
      <c r="B245" s="31"/>
      <c r="C245" s="4" t="s">
        <v>57</v>
      </c>
      <c r="D245" s="4" t="s">
        <v>435</v>
      </c>
      <c r="E245" s="5">
        <f>37463.38</f>
        <v>37463.379999999997</v>
      </c>
      <c r="F245" s="5">
        <f>7292.32</f>
        <v>7292.32</v>
      </c>
      <c r="G245" s="5" t="s">
        <v>251</v>
      </c>
      <c r="H245" s="59">
        <f>7292.32</f>
        <v>7292.32</v>
      </c>
    </row>
    <row r="246" spans="1:8" ht="22.5" customHeight="1" thickBot="1" x14ac:dyDescent="0.25">
      <c r="A246" s="37" t="s">
        <v>6</v>
      </c>
      <c r="B246" s="38"/>
      <c r="C246" s="38"/>
      <c r="D246" s="38"/>
      <c r="E246" s="55">
        <f>E173+E202+E214+E225+E238+E243</f>
        <v>174179.81</v>
      </c>
      <c r="F246" s="53">
        <f>F173+F202+F214+F225+F238+F243</f>
        <v>17904.069</v>
      </c>
      <c r="G246" s="56" t="s">
        <v>387</v>
      </c>
      <c r="H246" s="56">
        <f>H173+H202+H214+H225+H238+H243</f>
        <v>17904.069</v>
      </c>
    </row>
    <row r="247" spans="1:8" ht="22.5" customHeight="1" x14ac:dyDescent="0.2">
      <c r="A247" s="39">
        <v>9</v>
      </c>
      <c r="B247" s="52" t="s">
        <v>14</v>
      </c>
      <c r="C247" s="13" t="s">
        <v>42</v>
      </c>
      <c r="D247" s="13" t="s">
        <v>436</v>
      </c>
      <c r="E247" s="3">
        <f>E248</f>
        <v>0</v>
      </c>
      <c r="F247" s="3">
        <f>F248</f>
        <v>0</v>
      </c>
      <c r="G247" s="3" t="s">
        <v>29</v>
      </c>
      <c r="H247" s="60">
        <f>H248</f>
        <v>0</v>
      </c>
    </row>
    <row r="248" spans="1:8" ht="22.5" customHeight="1" x14ac:dyDescent="0.2">
      <c r="A248" s="30"/>
      <c r="B248" s="31"/>
      <c r="C248" s="4" t="s">
        <v>30</v>
      </c>
      <c r="D248" s="4" t="s">
        <v>437</v>
      </c>
      <c r="E248" s="5">
        <f>0</f>
        <v>0</v>
      </c>
      <c r="F248" s="5">
        <f>0</f>
        <v>0</v>
      </c>
      <c r="G248" s="5" t="s">
        <v>29</v>
      </c>
      <c r="H248" s="59">
        <f>0</f>
        <v>0</v>
      </c>
    </row>
    <row r="249" spans="1:8" ht="22.5" customHeight="1" x14ac:dyDescent="0.2">
      <c r="A249" s="30"/>
      <c r="B249" s="31"/>
      <c r="C249" s="13" t="s">
        <v>54</v>
      </c>
      <c r="D249" s="13" t="s">
        <v>438</v>
      </c>
      <c r="E249" s="3">
        <f>E250</f>
        <v>0</v>
      </c>
      <c r="F249" s="3">
        <f>F250</f>
        <v>0</v>
      </c>
      <c r="G249" s="3" t="s">
        <v>29</v>
      </c>
      <c r="H249" s="60">
        <f>H250</f>
        <v>0</v>
      </c>
    </row>
    <row r="250" spans="1:8" ht="22.5" customHeight="1" x14ac:dyDescent="0.2">
      <c r="A250" s="30"/>
      <c r="B250" s="31"/>
      <c r="C250" s="4" t="s">
        <v>30</v>
      </c>
      <c r="D250" s="4" t="s">
        <v>439</v>
      </c>
      <c r="E250" s="5">
        <f>0</f>
        <v>0</v>
      </c>
      <c r="F250" s="5">
        <f>0</f>
        <v>0</v>
      </c>
      <c r="G250" s="5" t="s">
        <v>29</v>
      </c>
      <c r="H250" s="59">
        <f>0</f>
        <v>0</v>
      </c>
    </row>
    <row r="251" spans="1:8" ht="22.5" customHeight="1" x14ac:dyDescent="0.2">
      <c r="A251" s="30"/>
      <c r="B251" s="31"/>
      <c r="C251" s="13" t="s">
        <v>31</v>
      </c>
      <c r="D251" s="13" t="s">
        <v>440</v>
      </c>
      <c r="E251" s="3">
        <f>E252</f>
        <v>9054</v>
      </c>
      <c r="F251" s="3">
        <f>F252</f>
        <v>0</v>
      </c>
      <c r="G251" s="3" t="s">
        <v>216</v>
      </c>
      <c r="H251" s="60">
        <f>H252</f>
        <v>0</v>
      </c>
    </row>
    <row r="252" spans="1:8" ht="22.5" customHeight="1" x14ac:dyDescent="0.2">
      <c r="A252" s="30"/>
      <c r="B252" s="31"/>
      <c r="C252" s="4" t="s">
        <v>30</v>
      </c>
      <c r="D252" s="4" t="s">
        <v>441</v>
      </c>
      <c r="E252" s="5">
        <f>E253</f>
        <v>9054</v>
      </c>
      <c r="F252" s="5">
        <f>F253</f>
        <v>0</v>
      </c>
      <c r="G252" s="5" t="s">
        <v>216</v>
      </c>
      <c r="H252" s="59">
        <f>H253</f>
        <v>0</v>
      </c>
    </row>
    <row r="253" spans="1:8" ht="40.5" customHeight="1" x14ac:dyDescent="0.2">
      <c r="A253" s="30"/>
      <c r="B253" s="31"/>
      <c r="C253" s="4" t="s">
        <v>57</v>
      </c>
      <c r="D253" s="4" t="s">
        <v>583</v>
      </c>
      <c r="E253" s="5">
        <f>1000+8054</f>
        <v>9054</v>
      </c>
      <c r="F253" s="5">
        <f>0</f>
        <v>0</v>
      </c>
      <c r="G253" s="5" t="s">
        <v>216</v>
      </c>
      <c r="H253" s="59">
        <f>0</f>
        <v>0</v>
      </c>
    </row>
    <row r="254" spans="1:8" ht="22.5" customHeight="1" x14ac:dyDescent="0.2">
      <c r="A254" s="30"/>
      <c r="B254" s="31"/>
      <c r="C254" s="13" t="s">
        <v>135</v>
      </c>
      <c r="D254" s="13" t="s">
        <v>442</v>
      </c>
      <c r="E254" s="3">
        <f>E255</f>
        <v>0</v>
      </c>
      <c r="F254" s="3">
        <f>F255</f>
        <v>0</v>
      </c>
      <c r="G254" s="3" t="s">
        <v>29</v>
      </c>
      <c r="H254" s="60">
        <f>H255</f>
        <v>0</v>
      </c>
    </row>
    <row r="255" spans="1:8" ht="22.5" customHeight="1" x14ac:dyDescent="0.2">
      <c r="A255" s="30"/>
      <c r="B255" s="31"/>
      <c r="C255" s="4" t="s">
        <v>30</v>
      </c>
      <c r="D255" s="4" t="s">
        <v>443</v>
      </c>
      <c r="E255" s="5">
        <f>0</f>
        <v>0</v>
      </c>
      <c r="F255" s="5">
        <f>0</f>
        <v>0</v>
      </c>
      <c r="G255" s="5" t="s">
        <v>29</v>
      </c>
      <c r="H255" s="59">
        <f>0</f>
        <v>0</v>
      </c>
    </row>
    <row r="256" spans="1:8" ht="22.5" customHeight="1" x14ac:dyDescent="0.2">
      <c r="A256" s="30"/>
      <c r="B256" s="31"/>
      <c r="C256" s="13" t="s">
        <v>328</v>
      </c>
      <c r="D256" s="13" t="s">
        <v>444</v>
      </c>
      <c r="E256" s="3">
        <f>E257</f>
        <v>38377</v>
      </c>
      <c r="F256" s="3">
        <f>F257</f>
        <v>0</v>
      </c>
      <c r="G256" s="3" t="s">
        <v>216</v>
      </c>
      <c r="H256" s="60">
        <f>H257</f>
        <v>0</v>
      </c>
    </row>
    <row r="257" spans="1:8" ht="22.5" customHeight="1" x14ac:dyDescent="0.2">
      <c r="A257" s="30"/>
      <c r="B257" s="31"/>
      <c r="C257" s="4" t="s">
        <v>30</v>
      </c>
      <c r="D257" s="4" t="s">
        <v>445</v>
      </c>
      <c r="E257" s="5">
        <f>E258</f>
        <v>38377</v>
      </c>
      <c r="F257" s="5">
        <f>F258</f>
        <v>0</v>
      </c>
      <c r="G257" s="5" t="s">
        <v>216</v>
      </c>
      <c r="H257" s="59">
        <f>H258</f>
        <v>0</v>
      </c>
    </row>
    <row r="258" spans="1:8" ht="22.5" customHeight="1" x14ac:dyDescent="0.2">
      <c r="A258" s="30"/>
      <c r="B258" s="31"/>
      <c r="C258" s="4" t="s">
        <v>57</v>
      </c>
      <c r="D258" s="4" t="s">
        <v>584</v>
      </c>
      <c r="E258" s="5">
        <f>384+37993</f>
        <v>38377</v>
      </c>
      <c r="F258" s="5">
        <f>0</f>
        <v>0</v>
      </c>
      <c r="G258" s="5" t="s">
        <v>216</v>
      </c>
      <c r="H258" s="59">
        <f>0</f>
        <v>0</v>
      </c>
    </row>
    <row r="259" spans="1:8" ht="22.5" customHeight="1" thickBot="1" x14ac:dyDescent="0.25">
      <c r="A259" s="32" t="s">
        <v>6</v>
      </c>
      <c r="B259" s="33"/>
      <c r="C259" s="33"/>
      <c r="D259" s="34"/>
      <c r="E259" s="55">
        <f>E247+E249+E251+E254+E256</f>
        <v>47431</v>
      </c>
      <c r="F259" s="53">
        <f>F247+F249+F251+F254+F256</f>
        <v>0</v>
      </c>
      <c r="G259" s="54" t="s">
        <v>216</v>
      </c>
      <c r="H259" s="56">
        <f>H247+H249+H251+H254+H256</f>
        <v>0</v>
      </c>
    </row>
    <row r="260" spans="1:8" ht="22.5" customHeight="1" x14ac:dyDescent="0.2">
      <c r="A260" s="30">
        <v>10</v>
      </c>
      <c r="B260" s="31" t="s">
        <v>15</v>
      </c>
      <c r="C260" s="13" t="s">
        <v>42</v>
      </c>
      <c r="D260" s="13" t="s">
        <v>446</v>
      </c>
      <c r="E260" s="3">
        <f>E261</f>
        <v>31695.279999999999</v>
      </c>
      <c r="F260" s="3">
        <f>F261</f>
        <v>0</v>
      </c>
      <c r="G260" s="3" t="s">
        <v>216</v>
      </c>
      <c r="H260" s="60">
        <f>H261</f>
        <v>0</v>
      </c>
    </row>
    <row r="261" spans="1:8" ht="22.5" customHeight="1" x14ac:dyDescent="0.2">
      <c r="A261" s="30"/>
      <c r="B261" s="31"/>
      <c r="C261" s="4" t="s">
        <v>27</v>
      </c>
      <c r="D261" s="4" t="s">
        <v>447</v>
      </c>
      <c r="E261" s="5">
        <f>E262</f>
        <v>31695.279999999999</v>
      </c>
      <c r="F261" s="5">
        <f>F262</f>
        <v>0</v>
      </c>
      <c r="G261" s="5" t="s">
        <v>216</v>
      </c>
      <c r="H261" s="59">
        <f>H262</f>
        <v>0</v>
      </c>
    </row>
    <row r="262" spans="1:8" ht="22.5" customHeight="1" x14ac:dyDescent="0.2">
      <c r="A262" s="30"/>
      <c r="B262" s="31"/>
      <c r="C262" s="4" t="s">
        <v>86</v>
      </c>
      <c r="D262" s="4" t="s">
        <v>448</v>
      </c>
      <c r="E262" s="5">
        <f>7225.65+24469.63</f>
        <v>31695.279999999999</v>
      </c>
      <c r="F262" s="5">
        <f>0</f>
        <v>0</v>
      </c>
      <c r="G262" s="5" t="s">
        <v>216</v>
      </c>
      <c r="H262" s="59">
        <f>0</f>
        <v>0</v>
      </c>
    </row>
    <row r="263" spans="1:8" ht="22.5" customHeight="1" x14ac:dyDescent="0.2">
      <c r="A263" s="30"/>
      <c r="B263" s="31"/>
      <c r="C263" s="13" t="s">
        <v>31</v>
      </c>
      <c r="D263" s="13" t="s">
        <v>449</v>
      </c>
      <c r="E263" s="3">
        <f>E264+E267+E271</f>
        <v>1490252.5402799998</v>
      </c>
      <c r="F263" s="3">
        <f>F264+F267+F271</f>
        <v>849661.19192999997</v>
      </c>
      <c r="G263" s="3" t="s">
        <v>585</v>
      </c>
      <c r="H263" s="60">
        <f>H264+H267+H271</f>
        <v>849661.19192999997</v>
      </c>
    </row>
    <row r="264" spans="1:8" ht="22.5" customHeight="1" x14ac:dyDescent="0.2">
      <c r="A264" s="30"/>
      <c r="B264" s="31"/>
      <c r="C264" s="4" t="s">
        <v>30</v>
      </c>
      <c r="D264" s="4" t="s">
        <v>450</v>
      </c>
      <c r="E264" s="5">
        <f>E265+E266</f>
        <v>885137.36</v>
      </c>
      <c r="F264" s="5">
        <f>F265+F266</f>
        <v>613363.19848999998</v>
      </c>
      <c r="G264" s="5" t="s">
        <v>586</v>
      </c>
      <c r="H264" s="59">
        <f>H265+H266</f>
        <v>613363.19848999998</v>
      </c>
    </row>
    <row r="265" spans="1:8" ht="22.5" customHeight="1" x14ac:dyDescent="0.2">
      <c r="A265" s="30"/>
      <c r="B265" s="31"/>
      <c r="C265" s="4" t="s">
        <v>57</v>
      </c>
      <c r="D265" s="4" t="s">
        <v>451</v>
      </c>
      <c r="E265" s="5">
        <f>0</f>
        <v>0</v>
      </c>
      <c r="F265" s="5">
        <f>0</f>
        <v>0</v>
      </c>
      <c r="G265" s="5" t="s">
        <v>29</v>
      </c>
      <c r="H265" s="59">
        <f>0</f>
        <v>0</v>
      </c>
    </row>
    <row r="266" spans="1:8" ht="22.5" customHeight="1" x14ac:dyDescent="0.2">
      <c r="A266" s="30"/>
      <c r="B266" s="31"/>
      <c r="C266" s="4" t="s">
        <v>116</v>
      </c>
      <c r="D266" s="4" t="s">
        <v>587</v>
      </c>
      <c r="E266" s="5">
        <f>167290.97+717846.39</f>
        <v>885137.36</v>
      </c>
      <c r="F266" s="5">
        <f>613363.19849</f>
        <v>613363.19848999998</v>
      </c>
      <c r="G266" s="5" t="s">
        <v>586</v>
      </c>
      <c r="H266" s="59">
        <f>613363.19849</f>
        <v>613363.19848999998</v>
      </c>
    </row>
    <row r="267" spans="1:8" ht="22.5" customHeight="1" x14ac:dyDescent="0.2">
      <c r="A267" s="30"/>
      <c r="B267" s="31"/>
      <c r="C267" s="4" t="s">
        <v>27</v>
      </c>
      <c r="D267" s="4" t="s">
        <v>452</v>
      </c>
      <c r="E267" s="5">
        <f>E268+E269+E270</f>
        <v>602465.18027999997</v>
      </c>
      <c r="F267" s="5">
        <f>F268+F269+F270</f>
        <v>236297.99343999999</v>
      </c>
      <c r="G267" s="5" t="s">
        <v>588</v>
      </c>
      <c r="H267" s="59">
        <f>H268+H269+H270</f>
        <v>236297.99343999999</v>
      </c>
    </row>
    <row r="268" spans="1:8" ht="22.5" customHeight="1" x14ac:dyDescent="0.2">
      <c r="A268" s="30"/>
      <c r="B268" s="31"/>
      <c r="C268" s="4" t="s">
        <v>142</v>
      </c>
      <c r="D268" s="4" t="s">
        <v>589</v>
      </c>
      <c r="E268" s="5">
        <f>65.90028</f>
        <v>65.900279999999995</v>
      </c>
      <c r="F268" s="5">
        <f>19.38244</f>
        <v>19.382439999999999</v>
      </c>
      <c r="G268" s="5" t="s">
        <v>590</v>
      </c>
      <c r="H268" s="59">
        <f>19.38244</f>
        <v>19.382439999999999</v>
      </c>
    </row>
    <row r="269" spans="1:8" ht="22.5" customHeight="1" x14ac:dyDescent="0.2">
      <c r="A269" s="30"/>
      <c r="B269" s="31"/>
      <c r="C269" s="4" t="s">
        <v>266</v>
      </c>
      <c r="D269" s="4" t="s">
        <v>591</v>
      </c>
      <c r="E269" s="5">
        <f>92210.67+395676.45</f>
        <v>487887.12</v>
      </c>
      <c r="F269" s="5">
        <v>236278.611</v>
      </c>
      <c r="G269" s="5" t="s">
        <v>592</v>
      </c>
      <c r="H269" s="59">
        <v>236278.611</v>
      </c>
    </row>
    <row r="270" spans="1:8" ht="22.5" customHeight="1" x14ac:dyDescent="0.2">
      <c r="A270" s="30"/>
      <c r="B270" s="31"/>
      <c r="C270" s="4" t="s">
        <v>36</v>
      </c>
      <c r="D270" s="4" t="s">
        <v>593</v>
      </c>
      <c r="E270" s="5">
        <f>21642.8+92869.36</f>
        <v>114512.16</v>
      </c>
      <c r="F270" s="5">
        <v>0</v>
      </c>
      <c r="G270" s="5" t="s">
        <v>216</v>
      </c>
      <c r="H270" s="59">
        <v>0</v>
      </c>
    </row>
    <row r="271" spans="1:8" ht="22.5" customHeight="1" x14ac:dyDescent="0.2">
      <c r="A271" s="30"/>
      <c r="B271" s="31"/>
      <c r="C271" s="4" t="s">
        <v>76</v>
      </c>
      <c r="D271" s="4" t="s">
        <v>594</v>
      </c>
      <c r="E271" s="5">
        <f>E272</f>
        <v>2650</v>
      </c>
      <c r="F271" s="5">
        <f>F272</f>
        <v>0</v>
      </c>
      <c r="G271" s="5" t="s">
        <v>216</v>
      </c>
      <c r="H271" s="59">
        <f>H272</f>
        <v>0</v>
      </c>
    </row>
    <row r="272" spans="1:8" ht="22.5" customHeight="1" x14ac:dyDescent="0.2">
      <c r="A272" s="30"/>
      <c r="B272" s="31"/>
      <c r="C272" s="4" t="s">
        <v>101</v>
      </c>
      <c r="D272" s="4" t="s">
        <v>595</v>
      </c>
      <c r="E272" s="5">
        <f>2650</f>
        <v>2650</v>
      </c>
      <c r="F272" s="5">
        <f>0</f>
        <v>0</v>
      </c>
      <c r="G272" s="5" t="s">
        <v>216</v>
      </c>
      <c r="H272" s="59">
        <f>0</f>
        <v>0</v>
      </c>
    </row>
    <row r="273" spans="1:8" ht="22.5" customHeight="1" x14ac:dyDescent="0.2">
      <c r="A273" s="30"/>
      <c r="B273" s="31"/>
      <c r="C273" s="13" t="s">
        <v>28</v>
      </c>
      <c r="D273" s="13" t="s">
        <v>454</v>
      </c>
      <c r="E273" s="3">
        <f>E274</f>
        <v>0</v>
      </c>
      <c r="F273" s="3">
        <f>F274</f>
        <v>0</v>
      </c>
      <c r="G273" s="3" t="s">
        <v>29</v>
      </c>
      <c r="H273" s="60">
        <f>H274</f>
        <v>0</v>
      </c>
    </row>
    <row r="274" spans="1:8" ht="22.5" customHeight="1" x14ac:dyDescent="0.2">
      <c r="A274" s="30"/>
      <c r="B274" s="31"/>
      <c r="C274" s="4" t="s">
        <v>27</v>
      </c>
      <c r="D274" s="4" t="s">
        <v>455</v>
      </c>
      <c r="E274" s="5">
        <f>0</f>
        <v>0</v>
      </c>
      <c r="F274" s="5">
        <f>0</f>
        <v>0</v>
      </c>
      <c r="G274" s="5" t="s">
        <v>29</v>
      </c>
      <c r="H274" s="59">
        <f>0</f>
        <v>0</v>
      </c>
    </row>
    <row r="275" spans="1:8" ht="22.5" customHeight="1" thickBot="1" x14ac:dyDescent="0.25">
      <c r="A275" s="32" t="s">
        <v>6</v>
      </c>
      <c r="B275" s="33"/>
      <c r="C275" s="33"/>
      <c r="D275" s="34"/>
      <c r="E275" s="55">
        <f>E260+E263+E273</f>
        <v>1521947.8202799999</v>
      </c>
      <c r="F275" s="53">
        <f>F260+F263+F273</f>
        <v>849661.19192999997</v>
      </c>
      <c r="G275" s="57" t="s">
        <v>679</v>
      </c>
      <c r="H275" s="56">
        <f>H260+H263+H273</f>
        <v>849661.19192999997</v>
      </c>
    </row>
    <row r="276" spans="1:8" ht="22.5" customHeight="1" x14ac:dyDescent="0.2">
      <c r="A276" s="30">
        <v>11</v>
      </c>
      <c r="B276" s="31" t="s">
        <v>16</v>
      </c>
      <c r="C276" s="13" t="s">
        <v>42</v>
      </c>
      <c r="D276" s="13" t="s">
        <v>166</v>
      </c>
      <c r="E276" s="3">
        <f>E277+E278+E282+E283</f>
        <v>46381.5</v>
      </c>
      <c r="F276" s="3">
        <f>F277+F278+F282+F283</f>
        <v>0</v>
      </c>
      <c r="G276" s="3" t="s">
        <v>216</v>
      </c>
      <c r="H276" s="60">
        <f>H277+H278+H282+H283</f>
        <v>0</v>
      </c>
    </row>
    <row r="277" spans="1:8" ht="22.5" customHeight="1" x14ac:dyDescent="0.2">
      <c r="A277" s="30"/>
      <c r="B277" s="31"/>
      <c r="C277" s="4" t="s">
        <v>27</v>
      </c>
      <c r="D277" s="4" t="s">
        <v>167</v>
      </c>
      <c r="E277" s="5">
        <f>0</f>
        <v>0</v>
      </c>
      <c r="F277" s="5">
        <f>0</f>
        <v>0</v>
      </c>
      <c r="G277" s="5" t="s">
        <v>29</v>
      </c>
      <c r="H277" s="59">
        <f>0</f>
        <v>0</v>
      </c>
    </row>
    <row r="278" spans="1:8" ht="22.5" customHeight="1" x14ac:dyDescent="0.2">
      <c r="A278" s="30"/>
      <c r="B278" s="31"/>
      <c r="C278" s="4" t="s">
        <v>68</v>
      </c>
      <c r="D278" s="4" t="s">
        <v>168</v>
      </c>
      <c r="E278" s="5">
        <f>E279+E280+E281</f>
        <v>46381.5</v>
      </c>
      <c r="F278" s="5">
        <f>F279+F280+F281</f>
        <v>0</v>
      </c>
      <c r="G278" s="5" t="s">
        <v>216</v>
      </c>
      <c r="H278" s="59">
        <f>H279+H280+H281</f>
        <v>0</v>
      </c>
    </row>
    <row r="279" spans="1:8" ht="22.5" customHeight="1" x14ac:dyDescent="0.2">
      <c r="A279" s="30"/>
      <c r="B279" s="31"/>
      <c r="C279" s="4" t="s">
        <v>71</v>
      </c>
      <c r="D279" s="4" t="s">
        <v>169</v>
      </c>
      <c r="E279" s="5">
        <f>36381.5+10000</f>
        <v>46381.5</v>
      </c>
      <c r="F279" s="5">
        <f>0</f>
        <v>0</v>
      </c>
      <c r="G279" s="5" t="s">
        <v>216</v>
      </c>
      <c r="H279" s="59">
        <f>0</f>
        <v>0</v>
      </c>
    </row>
    <row r="280" spans="1:8" ht="22.5" customHeight="1" x14ac:dyDescent="0.2">
      <c r="A280" s="30"/>
      <c r="B280" s="31"/>
      <c r="C280" s="4" t="s">
        <v>170</v>
      </c>
      <c r="D280" s="4" t="s">
        <v>171</v>
      </c>
      <c r="E280" s="5">
        <f>0</f>
        <v>0</v>
      </c>
      <c r="F280" s="5">
        <f>0</f>
        <v>0</v>
      </c>
      <c r="G280" s="5" t="s">
        <v>29</v>
      </c>
      <c r="H280" s="59">
        <f>0</f>
        <v>0</v>
      </c>
    </row>
    <row r="281" spans="1:8" ht="22.5" customHeight="1" x14ac:dyDescent="0.2">
      <c r="A281" s="30"/>
      <c r="B281" s="31"/>
      <c r="C281" s="4" t="s">
        <v>172</v>
      </c>
      <c r="D281" s="4" t="s">
        <v>173</v>
      </c>
      <c r="E281" s="5">
        <f>0</f>
        <v>0</v>
      </c>
      <c r="F281" s="5">
        <f>0</f>
        <v>0</v>
      </c>
      <c r="G281" s="5" t="s">
        <v>29</v>
      </c>
      <c r="H281" s="59">
        <f>0</f>
        <v>0</v>
      </c>
    </row>
    <row r="282" spans="1:8" ht="22.5" customHeight="1" x14ac:dyDescent="0.2">
      <c r="A282" s="30"/>
      <c r="B282" s="31"/>
      <c r="C282" s="4" t="s">
        <v>76</v>
      </c>
      <c r="D282" s="4" t="s">
        <v>596</v>
      </c>
      <c r="E282" s="5">
        <f>0</f>
        <v>0</v>
      </c>
      <c r="F282" s="5">
        <f>0</f>
        <v>0</v>
      </c>
      <c r="G282" s="5" t="s">
        <v>29</v>
      </c>
      <c r="H282" s="59">
        <f>0</f>
        <v>0</v>
      </c>
    </row>
    <row r="283" spans="1:8" ht="22.5" customHeight="1" x14ac:dyDescent="0.2">
      <c r="A283" s="30"/>
      <c r="B283" s="31"/>
      <c r="C283" s="4" t="s">
        <v>174</v>
      </c>
      <c r="D283" s="4" t="s">
        <v>175</v>
      </c>
      <c r="E283" s="5">
        <f>0</f>
        <v>0</v>
      </c>
      <c r="F283" s="5">
        <f>0</f>
        <v>0</v>
      </c>
      <c r="G283" s="5" t="s">
        <v>29</v>
      </c>
      <c r="H283" s="59">
        <f>0</f>
        <v>0</v>
      </c>
    </row>
    <row r="284" spans="1:8" ht="22.5" customHeight="1" x14ac:dyDescent="0.2">
      <c r="A284" s="30"/>
      <c r="B284" s="31"/>
      <c r="C284" s="13" t="s">
        <v>54</v>
      </c>
      <c r="D284" s="13" t="s">
        <v>176</v>
      </c>
      <c r="E284" s="3">
        <f>E285</f>
        <v>0</v>
      </c>
      <c r="F284" s="3">
        <f>F285</f>
        <v>0</v>
      </c>
      <c r="G284" s="3" t="s">
        <v>29</v>
      </c>
      <c r="H284" s="60">
        <f>H285</f>
        <v>0</v>
      </c>
    </row>
    <row r="285" spans="1:8" ht="22.5" customHeight="1" x14ac:dyDescent="0.2">
      <c r="A285" s="30"/>
      <c r="B285" s="31"/>
      <c r="C285" s="4" t="s">
        <v>150</v>
      </c>
      <c r="D285" s="4" t="s">
        <v>177</v>
      </c>
      <c r="E285" s="5">
        <f>0</f>
        <v>0</v>
      </c>
      <c r="F285" s="5">
        <f>0</f>
        <v>0</v>
      </c>
      <c r="G285" s="5" t="s">
        <v>29</v>
      </c>
      <c r="H285" s="59">
        <f>0</f>
        <v>0</v>
      </c>
    </row>
    <row r="286" spans="1:8" ht="22.5" customHeight="1" x14ac:dyDescent="0.2">
      <c r="A286" s="30"/>
      <c r="B286" s="31"/>
      <c r="C286" s="13" t="s">
        <v>31</v>
      </c>
      <c r="D286" s="13" t="s">
        <v>179</v>
      </c>
      <c r="E286" s="3">
        <f>E287</f>
        <v>5000</v>
      </c>
      <c r="F286" s="3">
        <f>F287</f>
        <v>0</v>
      </c>
      <c r="G286" s="3" t="s">
        <v>216</v>
      </c>
      <c r="H286" s="60">
        <f>H287</f>
        <v>0</v>
      </c>
    </row>
    <row r="287" spans="1:8" ht="22.5" customHeight="1" x14ac:dyDescent="0.2">
      <c r="A287" s="30"/>
      <c r="B287" s="31"/>
      <c r="C287" s="4" t="s">
        <v>27</v>
      </c>
      <c r="D287" s="4" t="s">
        <v>180</v>
      </c>
      <c r="E287" s="5">
        <f>E288+E289+E290</f>
        <v>5000</v>
      </c>
      <c r="F287" s="5">
        <f>F288+F289+F290</f>
        <v>0</v>
      </c>
      <c r="G287" s="5" t="s">
        <v>216</v>
      </c>
      <c r="H287" s="59">
        <f>H288+H289+H290</f>
        <v>0</v>
      </c>
    </row>
    <row r="288" spans="1:8" ht="22.5" customHeight="1" x14ac:dyDescent="0.2">
      <c r="A288" s="30"/>
      <c r="B288" s="31"/>
      <c r="C288" s="4" t="s">
        <v>86</v>
      </c>
      <c r="D288" s="4" t="s">
        <v>181</v>
      </c>
      <c r="E288" s="5">
        <f>5000</f>
        <v>5000</v>
      </c>
      <c r="F288" s="5">
        <f>0</f>
        <v>0</v>
      </c>
      <c r="G288" s="5" t="s">
        <v>216</v>
      </c>
      <c r="H288" s="59">
        <f>0</f>
        <v>0</v>
      </c>
    </row>
    <row r="289" spans="1:8" ht="22.5" customHeight="1" x14ac:dyDescent="0.2">
      <c r="A289" s="30"/>
      <c r="B289" s="31"/>
      <c r="C289" s="4" t="s">
        <v>142</v>
      </c>
      <c r="D289" s="4" t="s">
        <v>182</v>
      </c>
      <c r="E289" s="5">
        <f>0</f>
        <v>0</v>
      </c>
      <c r="F289" s="5">
        <f>0</f>
        <v>0</v>
      </c>
      <c r="G289" s="5" t="s">
        <v>29</v>
      </c>
      <c r="H289" s="59">
        <f>0</f>
        <v>0</v>
      </c>
    </row>
    <row r="290" spans="1:8" ht="22.5" customHeight="1" x14ac:dyDescent="0.2">
      <c r="A290" s="30"/>
      <c r="B290" s="31"/>
      <c r="C290" s="4" t="s">
        <v>183</v>
      </c>
      <c r="D290" s="4" t="s">
        <v>184</v>
      </c>
      <c r="E290" s="5">
        <f>0</f>
        <v>0</v>
      </c>
      <c r="F290" s="5">
        <f>0</f>
        <v>0</v>
      </c>
      <c r="G290" s="5" t="s">
        <v>29</v>
      </c>
      <c r="H290" s="59">
        <f>0</f>
        <v>0</v>
      </c>
    </row>
    <row r="291" spans="1:8" ht="22.5" customHeight="1" x14ac:dyDescent="0.2">
      <c r="A291" s="30"/>
      <c r="B291" s="31"/>
      <c r="C291" s="13" t="s">
        <v>97</v>
      </c>
      <c r="D291" s="13" t="s">
        <v>185</v>
      </c>
      <c r="E291" s="3">
        <f>E292+E293+E294+E295</f>
        <v>0</v>
      </c>
      <c r="F291" s="3">
        <f>F292+F293+F294+F295</f>
        <v>0</v>
      </c>
      <c r="G291" s="3" t="s">
        <v>29</v>
      </c>
      <c r="H291" s="60">
        <f>H292+H293+H294+H295</f>
        <v>0</v>
      </c>
    </row>
    <row r="292" spans="1:8" ht="22.5" customHeight="1" x14ac:dyDescent="0.2">
      <c r="A292" s="30"/>
      <c r="B292" s="31"/>
      <c r="C292" s="4" t="s">
        <v>30</v>
      </c>
      <c r="D292" s="4" t="s">
        <v>186</v>
      </c>
      <c r="E292" s="5">
        <f>0</f>
        <v>0</v>
      </c>
      <c r="F292" s="5">
        <f>0</f>
        <v>0</v>
      </c>
      <c r="G292" s="5" t="s">
        <v>29</v>
      </c>
      <c r="H292" s="59">
        <f>0</f>
        <v>0</v>
      </c>
    </row>
    <row r="293" spans="1:8" ht="22.5" customHeight="1" x14ac:dyDescent="0.2">
      <c r="A293" s="30"/>
      <c r="B293" s="31"/>
      <c r="C293" s="4" t="s">
        <v>33</v>
      </c>
      <c r="D293" s="4" t="s">
        <v>187</v>
      </c>
      <c r="E293" s="5">
        <f>0</f>
        <v>0</v>
      </c>
      <c r="F293" s="5">
        <f>0</f>
        <v>0</v>
      </c>
      <c r="G293" s="5" t="s">
        <v>29</v>
      </c>
      <c r="H293" s="59">
        <f>0</f>
        <v>0</v>
      </c>
    </row>
    <row r="294" spans="1:8" ht="22.5" customHeight="1" x14ac:dyDescent="0.2">
      <c r="A294" s="30"/>
      <c r="B294" s="31"/>
      <c r="C294" s="4" t="s">
        <v>178</v>
      </c>
      <c r="D294" s="4" t="s">
        <v>188</v>
      </c>
      <c r="E294" s="5">
        <f>0</f>
        <v>0</v>
      </c>
      <c r="F294" s="5">
        <f>0</f>
        <v>0</v>
      </c>
      <c r="G294" s="5" t="s">
        <v>29</v>
      </c>
      <c r="H294" s="59">
        <f>0</f>
        <v>0</v>
      </c>
    </row>
    <row r="295" spans="1:8" ht="22.5" customHeight="1" x14ac:dyDescent="0.2">
      <c r="A295" s="30"/>
      <c r="B295" s="31"/>
      <c r="C295" s="4" t="s">
        <v>189</v>
      </c>
      <c r="D295" s="4" t="s">
        <v>190</v>
      </c>
      <c r="E295" s="5">
        <f>0</f>
        <v>0</v>
      </c>
      <c r="F295" s="5">
        <f>0</f>
        <v>0</v>
      </c>
      <c r="G295" s="5" t="s">
        <v>29</v>
      </c>
      <c r="H295" s="59">
        <f>0</f>
        <v>0</v>
      </c>
    </row>
    <row r="296" spans="1:8" ht="22.5" customHeight="1" thickBot="1" x14ac:dyDescent="0.25">
      <c r="A296" s="32" t="s">
        <v>6</v>
      </c>
      <c r="B296" s="33"/>
      <c r="C296" s="33"/>
      <c r="D296" s="34"/>
      <c r="E296" s="55">
        <f>E276+E284+E286+E291</f>
        <v>51381.5</v>
      </c>
      <c r="F296" s="53">
        <f>F276+F284+F286+F291</f>
        <v>0</v>
      </c>
      <c r="G296" s="53" t="s">
        <v>216</v>
      </c>
      <c r="H296" s="56">
        <f>H276+H284+H286+H291</f>
        <v>0</v>
      </c>
    </row>
    <row r="297" spans="1:8" ht="22.5" customHeight="1" x14ac:dyDescent="0.2">
      <c r="A297" s="31">
        <v>12</v>
      </c>
      <c r="B297" s="31" t="s">
        <v>17</v>
      </c>
      <c r="C297" s="13" t="s">
        <v>42</v>
      </c>
      <c r="D297" s="13" t="s">
        <v>140</v>
      </c>
      <c r="E297" s="3">
        <f>E298+E302+E304</f>
        <v>80979.13</v>
      </c>
      <c r="F297" s="3">
        <f>F298+F302+F304</f>
        <v>13330.009190000001</v>
      </c>
      <c r="G297" s="3" t="s">
        <v>597</v>
      </c>
      <c r="H297" s="60">
        <f>H298+H302+H304</f>
        <v>13330.009190000001</v>
      </c>
    </row>
    <row r="298" spans="1:8" ht="22.5" customHeight="1" x14ac:dyDescent="0.2">
      <c r="A298" s="31"/>
      <c r="B298" s="31"/>
      <c r="C298" s="4" t="s">
        <v>27</v>
      </c>
      <c r="D298" s="4" t="s">
        <v>456</v>
      </c>
      <c r="E298" s="5">
        <f>E299+E300+E301</f>
        <v>46923.73</v>
      </c>
      <c r="F298" s="5">
        <f>F299+F300+F301</f>
        <v>7047.9441999999999</v>
      </c>
      <c r="G298" s="5" t="s">
        <v>296</v>
      </c>
      <c r="H298" s="59">
        <f>H299+H300+H301</f>
        <v>7047.9441999999999</v>
      </c>
    </row>
    <row r="299" spans="1:8" ht="22.5" customHeight="1" x14ac:dyDescent="0.2">
      <c r="A299" s="31"/>
      <c r="B299" s="31"/>
      <c r="C299" s="4" t="s">
        <v>86</v>
      </c>
      <c r="D299" s="4" t="s">
        <v>598</v>
      </c>
      <c r="E299" s="5">
        <f>5425.58</f>
        <v>5425.58</v>
      </c>
      <c r="F299" s="5">
        <f>296.35927</f>
        <v>296.35926999999998</v>
      </c>
      <c r="G299" s="5" t="s">
        <v>599</v>
      </c>
      <c r="H299" s="59">
        <f>296.35927</f>
        <v>296.35926999999998</v>
      </c>
    </row>
    <row r="300" spans="1:8" ht="22.5" customHeight="1" x14ac:dyDescent="0.2">
      <c r="A300" s="31"/>
      <c r="B300" s="31"/>
      <c r="C300" s="4" t="s">
        <v>98</v>
      </c>
      <c r="D300" s="4" t="s">
        <v>141</v>
      </c>
      <c r="E300" s="5">
        <f>40600</f>
        <v>40600</v>
      </c>
      <c r="F300" s="5">
        <f>6751.58493</f>
        <v>6751.58493</v>
      </c>
      <c r="G300" s="5" t="s">
        <v>249</v>
      </c>
      <c r="H300" s="59">
        <f>6751.58493</f>
        <v>6751.58493</v>
      </c>
    </row>
    <row r="301" spans="1:8" ht="22.5" customHeight="1" x14ac:dyDescent="0.2">
      <c r="A301" s="31"/>
      <c r="B301" s="31"/>
      <c r="C301" s="4" t="s">
        <v>142</v>
      </c>
      <c r="D301" s="4" t="s">
        <v>143</v>
      </c>
      <c r="E301" s="5">
        <f>898.15</f>
        <v>898.15</v>
      </c>
      <c r="F301" s="5">
        <f>0</f>
        <v>0</v>
      </c>
      <c r="G301" s="5" t="s">
        <v>216</v>
      </c>
      <c r="H301" s="59">
        <f>0</f>
        <v>0</v>
      </c>
    </row>
    <row r="302" spans="1:8" ht="22.5" customHeight="1" x14ac:dyDescent="0.2">
      <c r="A302" s="31"/>
      <c r="B302" s="31"/>
      <c r="C302" s="4" t="s">
        <v>68</v>
      </c>
      <c r="D302" s="4" t="s">
        <v>460</v>
      </c>
      <c r="E302" s="5">
        <f>E303</f>
        <v>2464</v>
      </c>
      <c r="F302" s="5">
        <f>F303</f>
        <v>128.27302</v>
      </c>
      <c r="G302" s="5" t="s">
        <v>600</v>
      </c>
      <c r="H302" s="59">
        <f>H303</f>
        <v>128.27302</v>
      </c>
    </row>
    <row r="303" spans="1:8" ht="22.5" customHeight="1" x14ac:dyDescent="0.2">
      <c r="A303" s="31"/>
      <c r="B303" s="31"/>
      <c r="C303" s="4" t="s">
        <v>71</v>
      </c>
      <c r="D303" s="4" t="s">
        <v>461</v>
      </c>
      <c r="E303" s="5">
        <f>2464</f>
        <v>2464</v>
      </c>
      <c r="F303" s="5">
        <f>128.27302</f>
        <v>128.27302</v>
      </c>
      <c r="G303" s="5" t="s">
        <v>600</v>
      </c>
      <c r="H303" s="59">
        <f>128.27302</f>
        <v>128.27302</v>
      </c>
    </row>
    <row r="304" spans="1:8" ht="22.5" customHeight="1" x14ac:dyDescent="0.2">
      <c r="A304" s="31"/>
      <c r="B304" s="31"/>
      <c r="C304" s="4" t="s">
        <v>73</v>
      </c>
      <c r="D304" s="4" t="s">
        <v>94</v>
      </c>
      <c r="E304" s="5">
        <f>E305</f>
        <v>31591.4</v>
      </c>
      <c r="F304" s="5">
        <f>F305</f>
        <v>6153.7919700000002</v>
      </c>
      <c r="G304" s="5" t="s">
        <v>251</v>
      </c>
      <c r="H304" s="59">
        <f>H305</f>
        <v>6153.7919700000002</v>
      </c>
    </row>
    <row r="305" spans="1:8" ht="22.5" customHeight="1" x14ac:dyDescent="0.2">
      <c r="A305" s="31"/>
      <c r="B305" s="31"/>
      <c r="C305" s="4" t="s">
        <v>75</v>
      </c>
      <c r="D305" s="4" t="s">
        <v>144</v>
      </c>
      <c r="E305" s="5">
        <f>31591.4</f>
        <v>31591.4</v>
      </c>
      <c r="F305" s="5">
        <f>6153.79197</f>
        <v>6153.7919700000002</v>
      </c>
      <c r="G305" s="5" t="s">
        <v>251</v>
      </c>
      <c r="H305" s="59">
        <f>6153.79197</f>
        <v>6153.7919700000002</v>
      </c>
    </row>
    <row r="306" spans="1:8" ht="22.5" customHeight="1" x14ac:dyDescent="0.2">
      <c r="A306" s="31"/>
      <c r="B306" s="31"/>
      <c r="C306" s="13" t="s">
        <v>31</v>
      </c>
      <c r="D306" s="13" t="s">
        <v>145</v>
      </c>
      <c r="E306" s="3">
        <f>E307</f>
        <v>3000</v>
      </c>
      <c r="F306" s="3">
        <f>F307</f>
        <v>0</v>
      </c>
      <c r="G306" s="3" t="s">
        <v>216</v>
      </c>
      <c r="H306" s="60">
        <f>H307</f>
        <v>0</v>
      </c>
    </row>
    <row r="307" spans="1:8" ht="22.5" customHeight="1" x14ac:dyDescent="0.2">
      <c r="A307" s="31"/>
      <c r="B307" s="31"/>
      <c r="C307" s="4" t="s">
        <v>30</v>
      </c>
      <c r="D307" s="4" t="s">
        <v>146</v>
      </c>
      <c r="E307" s="5">
        <f>E308+E309</f>
        <v>3000</v>
      </c>
      <c r="F307" s="5">
        <f>F308+F309</f>
        <v>0</v>
      </c>
      <c r="G307" s="5" t="s">
        <v>216</v>
      </c>
      <c r="H307" s="59">
        <f>H308+H309</f>
        <v>0</v>
      </c>
    </row>
    <row r="308" spans="1:8" ht="22.5" customHeight="1" x14ac:dyDescent="0.2">
      <c r="A308" s="31"/>
      <c r="B308" s="31"/>
      <c r="C308" s="4" t="s">
        <v>57</v>
      </c>
      <c r="D308" s="4" t="s">
        <v>147</v>
      </c>
      <c r="E308" s="5">
        <f>0</f>
        <v>0</v>
      </c>
      <c r="F308" s="5">
        <f>0</f>
        <v>0</v>
      </c>
      <c r="G308" s="5" t="s">
        <v>29</v>
      </c>
      <c r="H308" s="59">
        <f>0</f>
        <v>0</v>
      </c>
    </row>
    <row r="309" spans="1:8" ht="22.5" customHeight="1" x14ac:dyDescent="0.2">
      <c r="A309" s="31"/>
      <c r="B309" s="31"/>
      <c r="C309" s="4" t="s">
        <v>58</v>
      </c>
      <c r="D309" s="4" t="s">
        <v>148</v>
      </c>
      <c r="E309" s="5">
        <f>3000</f>
        <v>3000</v>
      </c>
      <c r="F309" s="5">
        <f>0</f>
        <v>0</v>
      </c>
      <c r="G309" s="5" t="s">
        <v>216</v>
      </c>
      <c r="H309" s="59">
        <f>0</f>
        <v>0</v>
      </c>
    </row>
    <row r="310" spans="1:8" ht="22.5" customHeight="1" x14ac:dyDescent="0.2">
      <c r="A310" s="31"/>
      <c r="B310" s="31"/>
      <c r="C310" s="13" t="s">
        <v>97</v>
      </c>
      <c r="D310" s="13" t="s">
        <v>149</v>
      </c>
      <c r="E310" s="3">
        <f>E311+E312</f>
        <v>0</v>
      </c>
      <c r="F310" s="3">
        <f>F311+F312</f>
        <v>0</v>
      </c>
      <c r="G310" s="3" t="s">
        <v>29</v>
      </c>
      <c r="H310" s="60">
        <f>H311+H312</f>
        <v>0</v>
      </c>
    </row>
    <row r="311" spans="1:8" ht="22.5" customHeight="1" x14ac:dyDescent="0.2">
      <c r="A311" s="31"/>
      <c r="B311" s="31"/>
      <c r="C311" s="4" t="s">
        <v>150</v>
      </c>
      <c r="D311" s="4" t="s">
        <v>601</v>
      </c>
      <c r="E311" s="5">
        <f>0</f>
        <v>0</v>
      </c>
      <c r="F311" s="5">
        <f>0</f>
        <v>0</v>
      </c>
      <c r="G311" s="5" t="s">
        <v>29</v>
      </c>
      <c r="H311" s="59">
        <f>0</f>
        <v>0</v>
      </c>
    </row>
    <row r="312" spans="1:8" ht="22.5" customHeight="1" x14ac:dyDescent="0.2">
      <c r="A312" s="31"/>
      <c r="B312" s="31"/>
      <c r="C312" s="4" t="s">
        <v>33</v>
      </c>
      <c r="D312" s="4" t="s">
        <v>151</v>
      </c>
      <c r="E312" s="5">
        <f>0</f>
        <v>0</v>
      </c>
      <c r="F312" s="5">
        <f>0</f>
        <v>0</v>
      </c>
      <c r="G312" s="5" t="s">
        <v>29</v>
      </c>
      <c r="H312" s="59">
        <f>0</f>
        <v>0</v>
      </c>
    </row>
    <row r="313" spans="1:8" ht="22.5" customHeight="1" x14ac:dyDescent="0.2">
      <c r="A313" s="31"/>
      <c r="B313" s="31"/>
      <c r="C313" s="13" t="s">
        <v>28</v>
      </c>
      <c r="D313" s="13" t="s">
        <v>93</v>
      </c>
      <c r="E313" s="3">
        <f>E314+E326</f>
        <v>588795.08000000007</v>
      </c>
      <c r="F313" s="3">
        <f>F314+F326</f>
        <v>99743.245999999999</v>
      </c>
      <c r="G313" s="3" t="s">
        <v>548</v>
      </c>
      <c r="H313" s="60">
        <f>H314+H326</f>
        <v>99743.245999999999</v>
      </c>
    </row>
    <row r="314" spans="1:8" ht="22.5" customHeight="1" x14ac:dyDescent="0.2">
      <c r="A314" s="31"/>
      <c r="B314" s="31"/>
      <c r="C314" s="4" t="s">
        <v>30</v>
      </c>
      <c r="D314" s="4" t="s">
        <v>94</v>
      </c>
      <c r="E314" s="5">
        <f>E315+E316+E317+E318+E319+E320+E321+E322+E323+E324+E325</f>
        <v>588695.08000000007</v>
      </c>
      <c r="F314" s="5">
        <f>F315+F316+F317+F318+F319+F320+F321+F322+F323+F324+F325</f>
        <v>99743.245999999999</v>
      </c>
      <c r="G314" s="5" t="s">
        <v>548</v>
      </c>
      <c r="H314" s="59">
        <f>H315+H316+H317+H318+H319+H320+H321+H322+H323+H324+H325</f>
        <v>99743.245999999999</v>
      </c>
    </row>
    <row r="315" spans="1:8" ht="22.5" customHeight="1" x14ac:dyDescent="0.2">
      <c r="A315" s="31"/>
      <c r="B315" s="31"/>
      <c r="C315" s="4" t="s">
        <v>57</v>
      </c>
      <c r="D315" s="4" t="s">
        <v>152</v>
      </c>
      <c r="E315" s="5">
        <f>13362.27</f>
        <v>13362.27</v>
      </c>
      <c r="F315" s="5">
        <f>2866.562</f>
        <v>2866.5619999999999</v>
      </c>
      <c r="G315" s="5" t="s">
        <v>602</v>
      </c>
      <c r="H315" s="59">
        <f>2866.562</f>
        <v>2866.5619999999999</v>
      </c>
    </row>
    <row r="316" spans="1:8" ht="22.5" customHeight="1" x14ac:dyDescent="0.2">
      <c r="A316" s="31"/>
      <c r="B316" s="31"/>
      <c r="C316" s="4" t="s">
        <v>58</v>
      </c>
      <c r="D316" s="4" t="s">
        <v>153</v>
      </c>
      <c r="E316" s="5">
        <f>307198.95</f>
        <v>307198.95</v>
      </c>
      <c r="F316" s="5">
        <f>50502.664</f>
        <v>50502.663999999997</v>
      </c>
      <c r="G316" s="5" t="s">
        <v>288</v>
      </c>
      <c r="H316" s="59">
        <f>50502.664</f>
        <v>50502.663999999997</v>
      </c>
    </row>
    <row r="317" spans="1:8" ht="22.5" customHeight="1" x14ac:dyDescent="0.2">
      <c r="A317" s="31"/>
      <c r="B317" s="31"/>
      <c r="C317" s="4" t="s">
        <v>84</v>
      </c>
      <c r="D317" s="4" t="s">
        <v>154</v>
      </c>
      <c r="E317" s="5">
        <f>37381.24</f>
        <v>37381.24</v>
      </c>
      <c r="F317" s="5">
        <f>5913.78</f>
        <v>5913.78</v>
      </c>
      <c r="G317" s="5" t="s">
        <v>509</v>
      </c>
      <c r="H317" s="59">
        <f>5913.78</f>
        <v>5913.78</v>
      </c>
    </row>
    <row r="318" spans="1:8" ht="22.5" customHeight="1" x14ac:dyDescent="0.2">
      <c r="A318" s="31"/>
      <c r="B318" s="31"/>
      <c r="C318" s="4" t="s">
        <v>115</v>
      </c>
      <c r="D318" s="4" t="s">
        <v>155</v>
      </c>
      <c r="E318" s="5">
        <f>95745.12</f>
        <v>95745.12</v>
      </c>
      <c r="F318" s="5">
        <f>18788.263</f>
        <v>18788.262999999999</v>
      </c>
      <c r="G318" s="5" t="s">
        <v>462</v>
      </c>
      <c r="H318" s="59">
        <f>18788.263</f>
        <v>18788.262999999999</v>
      </c>
    </row>
    <row r="319" spans="1:8" ht="22.5" customHeight="1" x14ac:dyDescent="0.2">
      <c r="A319" s="31"/>
      <c r="B319" s="31"/>
      <c r="C319" s="4" t="s">
        <v>116</v>
      </c>
      <c r="D319" s="4" t="s">
        <v>156</v>
      </c>
      <c r="E319" s="5">
        <f>76472.81</f>
        <v>76472.81</v>
      </c>
      <c r="F319" s="5">
        <f>13890.59</f>
        <v>13890.59</v>
      </c>
      <c r="G319" s="5" t="s">
        <v>516</v>
      </c>
      <c r="H319" s="59">
        <f>13890.59</f>
        <v>13890.59</v>
      </c>
    </row>
    <row r="320" spans="1:8" ht="22.5" customHeight="1" x14ac:dyDescent="0.2">
      <c r="A320" s="31"/>
      <c r="B320" s="31"/>
      <c r="C320" s="4" t="s">
        <v>157</v>
      </c>
      <c r="D320" s="4" t="s">
        <v>158</v>
      </c>
      <c r="E320" s="5">
        <f>481.5</f>
        <v>481.5</v>
      </c>
      <c r="F320" s="5">
        <f>0</f>
        <v>0</v>
      </c>
      <c r="G320" s="5" t="s">
        <v>216</v>
      </c>
      <c r="H320" s="59">
        <f>0</f>
        <v>0</v>
      </c>
    </row>
    <row r="321" spans="1:8" ht="22.5" customHeight="1" x14ac:dyDescent="0.2">
      <c r="A321" s="31"/>
      <c r="B321" s="31"/>
      <c r="C321" s="4" t="s">
        <v>47</v>
      </c>
      <c r="D321" s="4" t="s">
        <v>159</v>
      </c>
      <c r="E321" s="5">
        <f>0</f>
        <v>0</v>
      </c>
      <c r="F321" s="5">
        <f>0</f>
        <v>0</v>
      </c>
      <c r="G321" s="5" t="s">
        <v>29</v>
      </c>
      <c r="H321" s="59">
        <f>0</f>
        <v>0</v>
      </c>
    </row>
    <row r="322" spans="1:8" ht="22.5" customHeight="1" x14ac:dyDescent="0.2">
      <c r="A322" s="31"/>
      <c r="B322" s="31"/>
      <c r="C322" s="4" t="s">
        <v>160</v>
      </c>
      <c r="D322" s="4" t="s">
        <v>603</v>
      </c>
      <c r="E322" s="5">
        <f>886</f>
        <v>886</v>
      </c>
      <c r="F322" s="5">
        <f>395</f>
        <v>395</v>
      </c>
      <c r="G322" s="5" t="s">
        <v>604</v>
      </c>
      <c r="H322" s="59">
        <f>395</f>
        <v>395</v>
      </c>
    </row>
    <row r="323" spans="1:8" ht="22.5" customHeight="1" x14ac:dyDescent="0.2">
      <c r="A323" s="31"/>
      <c r="B323" s="31"/>
      <c r="C323" s="4" t="s">
        <v>62</v>
      </c>
      <c r="D323" s="4" t="s">
        <v>161</v>
      </c>
      <c r="E323" s="5">
        <f>33626.54</f>
        <v>33626.54</v>
      </c>
      <c r="F323" s="5">
        <f>4737.374</f>
        <v>4737.3739999999998</v>
      </c>
      <c r="G323" s="5" t="s">
        <v>224</v>
      </c>
      <c r="H323" s="59">
        <f>4737.374</f>
        <v>4737.3739999999998</v>
      </c>
    </row>
    <row r="324" spans="1:8" ht="22.5" customHeight="1" x14ac:dyDescent="0.2">
      <c r="A324" s="31"/>
      <c r="B324" s="31"/>
      <c r="C324" s="4" t="s">
        <v>63</v>
      </c>
      <c r="D324" s="4" t="s">
        <v>162</v>
      </c>
      <c r="E324" s="5">
        <f>18540.65</f>
        <v>18540.650000000001</v>
      </c>
      <c r="F324" s="5">
        <f>2649.013</f>
        <v>2649.0129999999999</v>
      </c>
      <c r="G324" s="5" t="s">
        <v>547</v>
      </c>
      <c r="H324" s="59">
        <f>2649.013</f>
        <v>2649.0129999999999</v>
      </c>
    </row>
    <row r="325" spans="1:8" ht="22.5" customHeight="1" x14ac:dyDescent="0.2">
      <c r="A325" s="31"/>
      <c r="B325" s="31"/>
      <c r="C325" s="4" t="s">
        <v>163</v>
      </c>
      <c r="D325" s="4" t="s">
        <v>605</v>
      </c>
      <c r="E325" s="5">
        <f>5000</f>
        <v>5000</v>
      </c>
      <c r="F325" s="5">
        <f>0</f>
        <v>0</v>
      </c>
      <c r="G325" s="5" t="s">
        <v>216</v>
      </c>
      <c r="H325" s="59">
        <f>0</f>
        <v>0</v>
      </c>
    </row>
    <row r="326" spans="1:8" ht="22.5" customHeight="1" x14ac:dyDescent="0.2">
      <c r="A326" s="31"/>
      <c r="B326" s="31"/>
      <c r="C326" s="4" t="s">
        <v>68</v>
      </c>
      <c r="D326" s="4" t="s">
        <v>164</v>
      </c>
      <c r="E326" s="5">
        <f>E327</f>
        <v>100</v>
      </c>
      <c r="F326" s="5">
        <f>F327</f>
        <v>0</v>
      </c>
      <c r="G326" s="5" t="s">
        <v>216</v>
      </c>
      <c r="H326" s="59">
        <f>H327</f>
        <v>0</v>
      </c>
    </row>
    <row r="327" spans="1:8" ht="22.5" customHeight="1" x14ac:dyDescent="0.2">
      <c r="A327" s="31"/>
      <c r="B327" s="31"/>
      <c r="C327" s="4" t="s">
        <v>71</v>
      </c>
      <c r="D327" s="4" t="s">
        <v>165</v>
      </c>
      <c r="E327" s="5">
        <f>100</f>
        <v>100</v>
      </c>
      <c r="F327" s="5">
        <f>0</f>
        <v>0</v>
      </c>
      <c r="G327" s="5" t="s">
        <v>216</v>
      </c>
      <c r="H327" s="59">
        <f>0</f>
        <v>0</v>
      </c>
    </row>
    <row r="328" spans="1:8" ht="22.5" customHeight="1" thickBot="1" x14ac:dyDescent="0.25">
      <c r="A328" s="32" t="s">
        <v>6</v>
      </c>
      <c r="B328" s="33"/>
      <c r="C328" s="33"/>
      <c r="D328" s="34"/>
      <c r="E328" s="55">
        <f>E297+E306+E310+E313</f>
        <v>672774.21000000008</v>
      </c>
      <c r="F328" s="53">
        <f>F297+F306+F310+F313</f>
        <v>113073.25519</v>
      </c>
      <c r="G328" s="56" t="s">
        <v>680</v>
      </c>
      <c r="H328" s="62">
        <f>H297+H306+H310+H313</f>
        <v>113073.25519</v>
      </c>
    </row>
    <row r="329" spans="1:8" ht="22.5" customHeight="1" x14ac:dyDescent="0.2">
      <c r="A329" s="35">
        <v>13</v>
      </c>
      <c r="B329" s="36" t="s">
        <v>18</v>
      </c>
      <c r="C329" s="13" t="s">
        <v>42</v>
      </c>
      <c r="D329" s="13" t="s">
        <v>606</v>
      </c>
      <c r="E329" s="3">
        <f>E330+E337</f>
        <v>81770.37</v>
      </c>
      <c r="F329" s="3">
        <f>F330+F337</f>
        <v>14532.03508</v>
      </c>
      <c r="G329" s="3" t="s">
        <v>607</v>
      </c>
      <c r="H329" s="60">
        <f>H330+H337</f>
        <v>14532.03508</v>
      </c>
    </row>
    <row r="330" spans="1:8" ht="22.5" customHeight="1" x14ac:dyDescent="0.2">
      <c r="A330" s="43"/>
      <c r="B330" s="45"/>
      <c r="C330" s="4" t="s">
        <v>30</v>
      </c>
      <c r="D330" s="4" t="s">
        <v>111</v>
      </c>
      <c r="E330" s="5">
        <f>E331+E332+E333+E334+E335+E336</f>
        <v>60627.27</v>
      </c>
      <c r="F330" s="5">
        <f>F331+F332+F333+F334+F335+F336</f>
        <v>11449.80143</v>
      </c>
      <c r="G330" s="5" t="s">
        <v>340</v>
      </c>
      <c r="H330" s="59">
        <f>H331+H332+H333+H334+H335+H336</f>
        <v>11449.80143</v>
      </c>
    </row>
    <row r="331" spans="1:8" ht="22.5" customHeight="1" x14ac:dyDescent="0.2">
      <c r="A331" s="43"/>
      <c r="B331" s="45"/>
      <c r="C331" s="4" t="s">
        <v>57</v>
      </c>
      <c r="D331" s="4" t="s">
        <v>608</v>
      </c>
      <c r="E331" s="5">
        <f>540</f>
        <v>540</v>
      </c>
      <c r="F331" s="5">
        <f>60</f>
        <v>60</v>
      </c>
      <c r="G331" s="5" t="s">
        <v>609</v>
      </c>
      <c r="H331" s="59">
        <f>60</f>
        <v>60</v>
      </c>
    </row>
    <row r="332" spans="1:8" ht="22.5" customHeight="1" x14ac:dyDescent="0.2">
      <c r="A332" s="43"/>
      <c r="B332" s="45"/>
      <c r="C332" s="4" t="s">
        <v>58</v>
      </c>
      <c r="D332" s="4" t="s">
        <v>610</v>
      </c>
      <c r="E332" s="5">
        <f>4634.82</f>
        <v>4634.82</v>
      </c>
      <c r="F332" s="5">
        <f>2985</f>
        <v>2985</v>
      </c>
      <c r="G332" s="5" t="s">
        <v>611</v>
      </c>
      <c r="H332" s="59">
        <f>2985</f>
        <v>2985</v>
      </c>
    </row>
    <row r="333" spans="1:8" ht="22.5" customHeight="1" x14ac:dyDescent="0.2">
      <c r="A333" s="43"/>
      <c r="B333" s="45"/>
      <c r="C333" s="4" t="s">
        <v>45</v>
      </c>
      <c r="D333" s="4" t="s">
        <v>112</v>
      </c>
      <c r="E333" s="5">
        <f>47296.246</f>
        <v>47296.245999999999</v>
      </c>
      <c r="F333" s="5">
        <f>6657.09711</f>
        <v>6657.0971099999997</v>
      </c>
      <c r="G333" s="5" t="s">
        <v>465</v>
      </c>
      <c r="H333" s="59">
        <f>6657.09711</f>
        <v>6657.0971099999997</v>
      </c>
    </row>
    <row r="334" spans="1:8" ht="22.5" customHeight="1" x14ac:dyDescent="0.2">
      <c r="A334" s="43"/>
      <c r="B334" s="45"/>
      <c r="C334" s="4" t="s">
        <v>46</v>
      </c>
      <c r="D334" s="4" t="s">
        <v>113</v>
      </c>
      <c r="E334" s="5">
        <f>0</f>
        <v>0</v>
      </c>
      <c r="F334" s="5">
        <f>0</f>
        <v>0</v>
      </c>
      <c r="G334" s="5" t="s">
        <v>29</v>
      </c>
      <c r="H334" s="59">
        <f>0</f>
        <v>0</v>
      </c>
    </row>
    <row r="335" spans="1:8" ht="22.5" customHeight="1" x14ac:dyDescent="0.2">
      <c r="A335" s="43"/>
      <c r="B335" s="45"/>
      <c r="C335" s="4" t="s">
        <v>84</v>
      </c>
      <c r="D335" s="4" t="s">
        <v>114</v>
      </c>
      <c r="E335" s="5">
        <f>6673.804</f>
        <v>6673.8040000000001</v>
      </c>
      <c r="F335" s="5">
        <f>1022.27929</f>
        <v>1022.2792899999999</v>
      </c>
      <c r="G335" s="5" t="s">
        <v>260</v>
      </c>
      <c r="H335" s="59">
        <f>1022.27929</f>
        <v>1022.2792899999999</v>
      </c>
    </row>
    <row r="336" spans="1:8" ht="22.5" customHeight="1" x14ac:dyDescent="0.2">
      <c r="A336" s="43"/>
      <c r="B336" s="45"/>
      <c r="C336" s="4" t="s">
        <v>116</v>
      </c>
      <c r="D336" s="4" t="s">
        <v>117</v>
      </c>
      <c r="E336" s="5">
        <f>1482.4</f>
        <v>1482.4</v>
      </c>
      <c r="F336" s="5">
        <f>725.42503</f>
        <v>725.42502999999999</v>
      </c>
      <c r="G336" s="5" t="s">
        <v>612</v>
      </c>
      <c r="H336" s="59">
        <f>725.42503</f>
        <v>725.42502999999999</v>
      </c>
    </row>
    <row r="337" spans="1:8" ht="22.5" customHeight="1" x14ac:dyDescent="0.2">
      <c r="A337" s="43"/>
      <c r="B337" s="45"/>
      <c r="C337" s="4" t="s">
        <v>118</v>
      </c>
      <c r="D337" s="4" t="s">
        <v>119</v>
      </c>
      <c r="E337" s="5">
        <f>E338+E339+E340</f>
        <v>21143.1</v>
      </c>
      <c r="F337" s="5">
        <f>F338+F339+F340</f>
        <v>3082.2336500000001</v>
      </c>
      <c r="G337" s="5" t="s">
        <v>613</v>
      </c>
      <c r="H337" s="59">
        <f>H338+H339+H340</f>
        <v>3082.2336500000001</v>
      </c>
    </row>
    <row r="338" spans="1:8" ht="22.5" customHeight="1" x14ac:dyDescent="0.2">
      <c r="A338" s="43"/>
      <c r="B338" s="45"/>
      <c r="C338" s="4" t="s">
        <v>120</v>
      </c>
      <c r="D338" s="4" t="s">
        <v>121</v>
      </c>
      <c r="E338" s="5">
        <f>1700</f>
        <v>1700</v>
      </c>
      <c r="F338" s="5">
        <f>699.93124</f>
        <v>699.93124</v>
      </c>
      <c r="G338" s="5" t="s">
        <v>614</v>
      </c>
      <c r="H338" s="59">
        <f>699.93124</f>
        <v>699.93124</v>
      </c>
    </row>
    <row r="339" spans="1:8" ht="22.5" customHeight="1" x14ac:dyDescent="0.2">
      <c r="A339" s="43"/>
      <c r="B339" s="45"/>
      <c r="C339" s="4" t="s">
        <v>122</v>
      </c>
      <c r="D339" s="4" t="s">
        <v>615</v>
      </c>
      <c r="E339" s="5">
        <f>18794.1</f>
        <v>18794.099999999999</v>
      </c>
      <c r="F339" s="5">
        <f>2259.10732</f>
        <v>2259.1073200000001</v>
      </c>
      <c r="G339" s="5" t="s">
        <v>616</v>
      </c>
      <c r="H339" s="59">
        <f>2259.10732</f>
        <v>2259.1073200000001</v>
      </c>
    </row>
    <row r="340" spans="1:8" ht="22.5" customHeight="1" x14ac:dyDescent="0.2">
      <c r="A340" s="43"/>
      <c r="B340" s="45"/>
      <c r="C340" s="4" t="s">
        <v>123</v>
      </c>
      <c r="D340" s="4" t="s">
        <v>124</v>
      </c>
      <c r="E340" s="5">
        <f>649</f>
        <v>649</v>
      </c>
      <c r="F340" s="5">
        <f>123.19509</f>
        <v>123.19508999999999</v>
      </c>
      <c r="G340" s="5" t="s">
        <v>463</v>
      </c>
      <c r="H340" s="59">
        <f>123.19509</f>
        <v>123.19508999999999</v>
      </c>
    </row>
    <row r="341" spans="1:8" ht="22.5" customHeight="1" x14ac:dyDescent="0.2">
      <c r="A341" s="43"/>
      <c r="B341" s="45"/>
      <c r="C341" s="13" t="s">
        <v>54</v>
      </c>
      <c r="D341" s="13" t="s">
        <v>125</v>
      </c>
      <c r="E341" s="3">
        <f>E342</f>
        <v>0</v>
      </c>
      <c r="F341" s="3">
        <f>F342</f>
        <v>0</v>
      </c>
      <c r="G341" s="3" t="s">
        <v>29</v>
      </c>
      <c r="H341" s="60">
        <f>H342</f>
        <v>0</v>
      </c>
    </row>
    <row r="342" spans="1:8" ht="22.5" customHeight="1" x14ac:dyDescent="0.2">
      <c r="A342" s="43"/>
      <c r="B342" s="45"/>
      <c r="C342" s="4" t="s">
        <v>27</v>
      </c>
      <c r="D342" s="4" t="s">
        <v>617</v>
      </c>
      <c r="E342" s="5">
        <f>0</f>
        <v>0</v>
      </c>
      <c r="F342" s="5">
        <f>0</f>
        <v>0</v>
      </c>
      <c r="G342" s="5" t="s">
        <v>29</v>
      </c>
      <c r="H342" s="59">
        <f>0</f>
        <v>0</v>
      </c>
    </row>
    <row r="343" spans="1:8" ht="22.5" customHeight="1" x14ac:dyDescent="0.2">
      <c r="A343" s="43"/>
      <c r="B343" s="45"/>
      <c r="C343" s="13" t="s">
        <v>31</v>
      </c>
      <c r="D343" s="13" t="s">
        <v>126</v>
      </c>
      <c r="E343" s="3">
        <f>E344</f>
        <v>5117.3100000000004</v>
      </c>
      <c r="F343" s="3">
        <f>F344</f>
        <v>0</v>
      </c>
      <c r="G343" s="3" t="s">
        <v>216</v>
      </c>
      <c r="H343" s="60">
        <f>H344</f>
        <v>0</v>
      </c>
    </row>
    <row r="344" spans="1:8" ht="22.5" customHeight="1" x14ac:dyDescent="0.2">
      <c r="A344" s="43"/>
      <c r="B344" s="45"/>
      <c r="C344" s="4" t="s">
        <v>27</v>
      </c>
      <c r="D344" s="4" t="s">
        <v>127</v>
      </c>
      <c r="E344" s="5">
        <f>E345</f>
        <v>5117.3100000000004</v>
      </c>
      <c r="F344" s="5">
        <f>F345</f>
        <v>0</v>
      </c>
      <c r="G344" s="5" t="s">
        <v>216</v>
      </c>
      <c r="H344" s="59">
        <f>H345</f>
        <v>0</v>
      </c>
    </row>
    <row r="345" spans="1:8" ht="22.5" customHeight="1" x14ac:dyDescent="0.2">
      <c r="A345" s="43"/>
      <c r="B345" s="45"/>
      <c r="C345" s="4" t="s">
        <v>86</v>
      </c>
      <c r="D345" s="4" t="s">
        <v>128</v>
      </c>
      <c r="E345" s="5">
        <f>5117.31</f>
        <v>5117.3100000000004</v>
      </c>
      <c r="F345" s="5">
        <f>0</f>
        <v>0</v>
      </c>
      <c r="G345" s="5" t="s">
        <v>216</v>
      </c>
      <c r="H345" s="59">
        <f>0</f>
        <v>0</v>
      </c>
    </row>
    <row r="346" spans="1:8" ht="22.5" customHeight="1" x14ac:dyDescent="0.2">
      <c r="A346" s="43"/>
      <c r="B346" s="45"/>
      <c r="C346" s="13" t="s">
        <v>97</v>
      </c>
      <c r="D346" s="13" t="s">
        <v>129</v>
      </c>
      <c r="E346" s="3">
        <f>E347+E349</f>
        <v>4190</v>
      </c>
      <c r="F346" s="3">
        <f>F347+F349</f>
        <v>0</v>
      </c>
      <c r="G346" s="3" t="s">
        <v>216</v>
      </c>
      <c r="H346" s="60">
        <f>H347+H349</f>
        <v>0</v>
      </c>
    </row>
    <row r="347" spans="1:8" ht="22.5" customHeight="1" x14ac:dyDescent="0.2">
      <c r="A347" s="43"/>
      <c r="B347" s="45"/>
      <c r="C347" s="4" t="s">
        <v>30</v>
      </c>
      <c r="D347" s="4" t="s">
        <v>130</v>
      </c>
      <c r="E347" s="5">
        <f>E348</f>
        <v>700</v>
      </c>
      <c r="F347" s="5">
        <f>F348</f>
        <v>0</v>
      </c>
      <c r="G347" s="5" t="s">
        <v>216</v>
      </c>
      <c r="H347" s="59">
        <f>H348</f>
        <v>0</v>
      </c>
    </row>
    <row r="348" spans="1:8" ht="22.5" customHeight="1" x14ac:dyDescent="0.2">
      <c r="A348" s="43"/>
      <c r="B348" s="45"/>
      <c r="C348" s="4" t="s">
        <v>57</v>
      </c>
      <c r="D348" s="4" t="s">
        <v>131</v>
      </c>
      <c r="E348" s="5">
        <f>700</f>
        <v>700</v>
      </c>
      <c r="F348" s="5">
        <f>0</f>
        <v>0</v>
      </c>
      <c r="G348" s="5" t="s">
        <v>216</v>
      </c>
      <c r="H348" s="59">
        <f>0</f>
        <v>0</v>
      </c>
    </row>
    <row r="349" spans="1:8" ht="22.5" customHeight="1" x14ac:dyDescent="0.2">
      <c r="A349" s="43"/>
      <c r="B349" s="45"/>
      <c r="C349" s="4" t="s">
        <v>27</v>
      </c>
      <c r="D349" s="4" t="s">
        <v>132</v>
      </c>
      <c r="E349" s="5">
        <f>E350</f>
        <v>3490</v>
      </c>
      <c r="F349" s="5">
        <f>F350</f>
        <v>0</v>
      </c>
      <c r="G349" s="5" t="s">
        <v>216</v>
      </c>
      <c r="H349" s="59">
        <f>H350</f>
        <v>0</v>
      </c>
    </row>
    <row r="350" spans="1:8" ht="22.5" customHeight="1" x14ac:dyDescent="0.2">
      <c r="A350" s="43"/>
      <c r="B350" s="45"/>
      <c r="C350" s="4" t="s">
        <v>98</v>
      </c>
      <c r="D350" s="4" t="s">
        <v>133</v>
      </c>
      <c r="E350" s="5">
        <f>3490</f>
        <v>3490</v>
      </c>
      <c r="F350" s="5">
        <f>0</f>
        <v>0</v>
      </c>
      <c r="G350" s="5" t="s">
        <v>216</v>
      </c>
      <c r="H350" s="59">
        <f>0</f>
        <v>0</v>
      </c>
    </row>
    <row r="351" spans="1:8" ht="22.5" customHeight="1" x14ac:dyDescent="0.2">
      <c r="A351" s="43"/>
      <c r="B351" s="45"/>
      <c r="C351" s="13" t="s">
        <v>28</v>
      </c>
      <c r="D351" s="13" t="s">
        <v>618</v>
      </c>
      <c r="E351" s="3">
        <f>E352</f>
        <v>0</v>
      </c>
      <c r="F351" s="3">
        <f>F352</f>
        <v>0</v>
      </c>
      <c r="G351" s="3" t="s">
        <v>29</v>
      </c>
      <c r="H351" s="60">
        <f>H352</f>
        <v>0</v>
      </c>
    </row>
    <row r="352" spans="1:8" ht="22.5" customHeight="1" x14ac:dyDescent="0.2">
      <c r="A352" s="43"/>
      <c r="B352" s="45"/>
      <c r="C352" s="4" t="s">
        <v>30</v>
      </c>
      <c r="D352" s="4" t="s">
        <v>134</v>
      </c>
      <c r="E352" s="5">
        <f>0</f>
        <v>0</v>
      </c>
      <c r="F352" s="5">
        <f>0</f>
        <v>0</v>
      </c>
      <c r="G352" s="5" t="s">
        <v>29</v>
      </c>
      <c r="H352" s="59">
        <f>0</f>
        <v>0</v>
      </c>
    </row>
    <row r="353" spans="1:8" ht="22.5" customHeight="1" x14ac:dyDescent="0.2">
      <c r="A353" s="43"/>
      <c r="B353" s="45"/>
      <c r="C353" s="13" t="s">
        <v>135</v>
      </c>
      <c r="D353" s="13" t="s">
        <v>93</v>
      </c>
      <c r="E353" s="3">
        <f>E354+E356</f>
        <v>9287.2669999999998</v>
      </c>
      <c r="F353" s="3">
        <f>F354+F356</f>
        <v>1443.538</v>
      </c>
      <c r="G353" s="3" t="s">
        <v>565</v>
      </c>
      <c r="H353" s="60">
        <f>H354+H356</f>
        <v>1443.538</v>
      </c>
    </row>
    <row r="354" spans="1:8" ht="22.5" customHeight="1" x14ac:dyDescent="0.2">
      <c r="A354" s="43"/>
      <c r="B354" s="45"/>
      <c r="C354" s="4" t="s">
        <v>68</v>
      </c>
      <c r="D354" s="4" t="s">
        <v>136</v>
      </c>
      <c r="E354" s="5">
        <f>E355</f>
        <v>9286.8799999999992</v>
      </c>
      <c r="F354" s="5">
        <f>F355</f>
        <v>1443.538</v>
      </c>
      <c r="G354" s="5" t="s">
        <v>565</v>
      </c>
      <c r="H354" s="59">
        <f>H355</f>
        <v>1443.538</v>
      </c>
    </row>
    <row r="355" spans="1:8" ht="22.5" customHeight="1" x14ac:dyDescent="0.2">
      <c r="A355" s="43"/>
      <c r="B355" s="45"/>
      <c r="C355" s="4" t="s">
        <v>71</v>
      </c>
      <c r="D355" s="4" t="s">
        <v>137</v>
      </c>
      <c r="E355" s="5">
        <f>9286.88</f>
        <v>9286.8799999999992</v>
      </c>
      <c r="F355" s="5">
        <f>1443.538</f>
        <v>1443.538</v>
      </c>
      <c r="G355" s="5" t="s">
        <v>565</v>
      </c>
      <c r="H355" s="59">
        <f>1443.538</f>
        <v>1443.538</v>
      </c>
    </row>
    <row r="356" spans="1:8" ht="22.5" customHeight="1" x14ac:dyDescent="0.2">
      <c r="A356" s="43"/>
      <c r="B356" s="45"/>
      <c r="C356" s="4" t="s">
        <v>73</v>
      </c>
      <c r="D356" s="4" t="s">
        <v>138</v>
      </c>
      <c r="E356" s="5">
        <f>E357</f>
        <v>0.38700000000000001</v>
      </c>
      <c r="F356" s="5">
        <f>F357</f>
        <v>0</v>
      </c>
      <c r="G356" s="5" t="s">
        <v>216</v>
      </c>
      <c r="H356" s="59">
        <f>H357</f>
        <v>0</v>
      </c>
    </row>
    <row r="357" spans="1:8" ht="22.5" customHeight="1" x14ac:dyDescent="0.2">
      <c r="A357" s="43"/>
      <c r="B357" s="45"/>
      <c r="C357" s="4" t="s">
        <v>75</v>
      </c>
      <c r="D357" s="4" t="s">
        <v>139</v>
      </c>
      <c r="E357" s="5">
        <f>0.387</f>
        <v>0.38700000000000001</v>
      </c>
      <c r="F357" s="5">
        <f>0</f>
        <v>0</v>
      </c>
      <c r="G357" s="5" t="s">
        <v>216</v>
      </c>
      <c r="H357" s="59">
        <f>0</f>
        <v>0</v>
      </c>
    </row>
    <row r="358" spans="1:8" ht="22.5" customHeight="1" thickBot="1" x14ac:dyDescent="0.25">
      <c r="A358" s="37" t="s">
        <v>6</v>
      </c>
      <c r="B358" s="38"/>
      <c r="C358" s="38"/>
      <c r="D358" s="38"/>
      <c r="E358" s="55">
        <f>E329+E341+E343+E346+E351+E353</f>
        <v>100364.94699999999</v>
      </c>
      <c r="F358" s="53">
        <f>F329+F341+F343+F346+F351+F353</f>
        <v>15975.57308</v>
      </c>
      <c r="G358" s="54" t="s">
        <v>551</v>
      </c>
      <c r="H358" s="56">
        <f>H329+H341+H343+H346+H351+H353</f>
        <v>15975.57308</v>
      </c>
    </row>
    <row r="359" spans="1:8" ht="22.5" customHeight="1" x14ac:dyDescent="0.2">
      <c r="A359" s="35">
        <v>14</v>
      </c>
      <c r="B359" s="36" t="s">
        <v>19</v>
      </c>
      <c r="C359" s="13" t="s">
        <v>42</v>
      </c>
      <c r="D359" s="13" t="s">
        <v>99</v>
      </c>
      <c r="E359" s="3">
        <f>E360</f>
        <v>0</v>
      </c>
      <c r="F359" s="3">
        <f>F360</f>
        <v>0</v>
      </c>
      <c r="G359" s="3" t="s">
        <v>29</v>
      </c>
      <c r="H359" s="60">
        <f>H360</f>
        <v>0</v>
      </c>
    </row>
    <row r="360" spans="1:8" ht="22.5" customHeight="1" x14ac:dyDescent="0.2">
      <c r="A360" s="43"/>
      <c r="B360" s="45"/>
      <c r="C360" s="4" t="s">
        <v>76</v>
      </c>
      <c r="D360" s="4" t="s">
        <v>466</v>
      </c>
      <c r="E360" s="5">
        <f>0</f>
        <v>0</v>
      </c>
      <c r="F360" s="5">
        <f>0</f>
        <v>0</v>
      </c>
      <c r="G360" s="5" t="s">
        <v>29</v>
      </c>
      <c r="H360" s="59">
        <f>0</f>
        <v>0</v>
      </c>
    </row>
    <row r="361" spans="1:8" ht="22.5" customHeight="1" x14ac:dyDescent="0.2">
      <c r="A361" s="43"/>
      <c r="B361" s="45"/>
      <c r="C361" s="13" t="s">
        <v>54</v>
      </c>
      <c r="D361" s="13" t="s">
        <v>102</v>
      </c>
      <c r="E361" s="3">
        <f>E362+E363+E365</f>
        <v>109188.32066</v>
      </c>
      <c r="F361" s="3">
        <f>F362+F363+F365</f>
        <v>10712.3037</v>
      </c>
      <c r="G361" s="3" t="s">
        <v>619</v>
      </c>
      <c r="H361" s="60">
        <f>H362+H363+H365</f>
        <v>10712.3037</v>
      </c>
    </row>
    <row r="362" spans="1:8" ht="22.5" customHeight="1" x14ac:dyDescent="0.2">
      <c r="A362" s="43"/>
      <c r="B362" s="45"/>
      <c r="C362" s="4" t="s">
        <v>27</v>
      </c>
      <c r="D362" s="4" t="s">
        <v>103</v>
      </c>
      <c r="E362" s="5">
        <f>0</f>
        <v>0</v>
      </c>
      <c r="F362" s="5">
        <f>0</f>
        <v>0</v>
      </c>
      <c r="G362" s="5" t="s">
        <v>29</v>
      </c>
      <c r="H362" s="59">
        <f>0</f>
        <v>0</v>
      </c>
    </row>
    <row r="363" spans="1:8" ht="22.5" customHeight="1" x14ac:dyDescent="0.2">
      <c r="A363" s="43"/>
      <c r="B363" s="45"/>
      <c r="C363" s="4" t="s">
        <v>68</v>
      </c>
      <c r="D363" s="4" t="s">
        <v>620</v>
      </c>
      <c r="E363" s="5">
        <f>E364</f>
        <v>16290.890659999999</v>
      </c>
      <c r="F363" s="5">
        <f>F364</f>
        <v>566.49652000000003</v>
      </c>
      <c r="G363" s="5" t="s">
        <v>581</v>
      </c>
      <c r="H363" s="59">
        <f>H364</f>
        <v>566.49652000000003</v>
      </c>
    </row>
    <row r="364" spans="1:8" ht="22.5" customHeight="1" x14ac:dyDescent="0.2">
      <c r="A364" s="43"/>
      <c r="B364" s="45"/>
      <c r="C364" s="4" t="s">
        <v>71</v>
      </c>
      <c r="D364" s="4" t="s">
        <v>621</v>
      </c>
      <c r="E364" s="5">
        <f>16290.89066</f>
        <v>16290.890659999999</v>
      </c>
      <c r="F364" s="5">
        <f>566.49652</f>
        <v>566.49652000000003</v>
      </c>
      <c r="G364" s="5" t="s">
        <v>581</v>
      </c>
      <c r="H364" s="59">
        <f>566.49652</f>
        <v>566.49652000000003</v>
      </c>
    </row>
    <row r="365" spans="1:8" ht="22.5" customHeight="1" x14ac:dyDescent="0.2">
      <c r="A365" s="43"/>
      <c r="B365" s="45"/>
      <c r="C365" s="4" t="s">
        <v>73</v>
      </c>
      <c r="D365" s="4" t="s">
        <v>104</v>
      </c>
      <c r="E365" s="5">
        <f>E366+E367+E368+E369+E370+E371+E372</f>
        <v>92897.43</v>
      </c>
      <c r="F365" s="5">
        <f>F366+F367+F368+F369+F370+F371+F372</f>
        <v>10145.80718</v>
      </c>
      <c r="G365" s="5" t="s">
        <v>514</v>
      </c>
      <c r="H365" s="59">
        <f>H366+H367+H368+H369+H370+H371+H372</f>
        <v>10145.80718</v>
      </c>
    </row>
    <row r="366" spans="1:8" ht="22.5" customHeight="1" x14ac:dyDescent="0.2">
      <c r="A366" s="43"/>
      <c r="B366" s="45"/>
      <c r="C366" s="4" t="s">
        <v>75</v>
      </c>
      <c r="D366" s="4" t="s">
        <v>467</v>
      </c>
      <c r="E366" s="5">
        <f>0</f>
        <v>0</v>
      </c>
      <c r="F366" s="5">
        <f>0</f>
        <v>0</v>
      </c>
      <c r="G366" s="5" t="s">
        <v>29</v>
      </c>
      <c r="H366" s="59">
        <f>0</f>
        <v>0</v>
      </c>
    </row>
    <row r="367" spans="1:8" ht="22.5" customHeight="1" x14ac:dyDescent="0.2">
      <c r="A367" s="43"/>
      <c r="B367" s="45"/>
      <c r="C367" s="4" t="s">
        <v>105</v>
      </c>
      <c r="D367" s="4" t="s">
        <v>468</v>
      </c>
      <c r="E367" s="5">
        <f>0</f>
        <v>0</v>
      </c>
      <c r="F367" s="5">
        <f>0</f>
        <v>0</v>
      </c>
      <c r="G367" s="5" t="s">
        <v>29</v>
      </c>
      <c r="H367" s="59">
        <f>0</f>
        <v>0</v>
      </c>
    </row>
    <row r="368" spans="1:8" ht="22.5" customHeight="1" x14ac:dyDescent="0.2">
      <c r="A368" s="43"/>
      <c r="B368" s="45"/>
      <c r="C368" s="4" t="s">
        <v>574</v>
      </c>
      <c r="D368" s="4" t="s">
        <v>622</v>
      </c>
      <c r="E368" s="5">
        <f>11460.4+47011.03</f>
        <v>58471.43</v>
      </c>
      <c r="F368" s="5">
        <f>0</f>
        <v>0</v>
      </c>
      <c r="G368" s="5" t="s">
        <v>216</v>
      </c>
      <c r="H368" s="59">
        <f>0</f>
        <v>0</v>
      </c>
    </row>
    <row r="369" spans="1:8" ht="22.5" customHeight="1" x14ac:dyDescent="0.2">
      <c r="A369" s="43"/>
      <c r="B369" s="45"/>
      <c r="C369" s="4" t="s">
        <v>106</v>
      </c>
      <c r="D369" s="4" t="s">
        <v>107</v>
      </c>
      <c r="E369" s="5">
        <f>0</f>
        <v>0</v>
      </c>
      <c r="F369" s="5">
        <f>0</f>
        <v>0</v>
      </c>
      <c r="G369" s="5" t="s">
        <v>29</v>
      </c>
      <c r="H369" s="59">
        <f>0</f>
        <v>0</v>
      </c>
    </row>
    <row r="370" spans="1:8" ht="22.5" customHeight="1" x14ac:dyDescent="0.2">
      <c r="A370" s="43"/>
      <c r="B370" s="45"/>
      <c r="C370" s="4" t="s">
        <v>108</v>
      </c>
      <c r="D370" s="4" t="s">
        <v>109</v>
      </c>
      <c r="E370" s="5">
        <f>0</f>
        <v>0</v>
      </c>
      <c r="F370" s="5">
        <f>0</f>
        <v>0</v>
      </c>
      <c r="G370" s="5" t="s">
        <v>29</v>
      </c>
      <c r="H370" s="59">
        <f>0</f>
        <v>0</v>
      </c>
    </row>
    <row r="371" spans="1:8" ht="22.5" customHeight="1" x14ac:dyDescent="0.2">
      <c r="A371" s="43"/>
      <c r="B371" s="45"/>
      <c r="C371" s="4" t="s">
        <v>623</v>
      </c>
      <c r="D371" s="4" t="s">
        <v>624</v>
      </c>
      <c r="E371" s="5">
        <f>0</f>
        <v>0</v>
      </c>
      <c r="F371" s="5">
        <f>0</f>
        <v>0</v>
      </c>
      <c r="G371" s="5" t="s">
        <v>29</v>
      </c>
      <c r="H371" s="59">
        <f>0</f>
        <v>0</v>
      </c>
    </row>
    <row r="372" spans="1:8" ht="22.5" customHeight="1" x14ac:dyDescent="0.2">
      <c r="A372" s="43"/>
      <c r="B372" s="45"/>
      <c r="C372" s="4" t="s">
        <v>625</v>
      </c>
      <c r="D372" s="4" t="s">
        <v>626</v>
      </c>
      <c r="E372" s="5">
        <f>34426</f>
        <v>34426</v>
      </c>
      <c r="F372" s="5">
        <f>10145.80718</f>
        <v>10145.80718</v>
      </c>
      <c r="G372" s="5" t="s">
        <v>627</v>
      </c>
      <c r="H372" s="59">
        <f>10145.80718</f>
        <v>10145.80718</v>
      </c>
    </row>
    <row r="373" spans="1:8" ht="22.5" customHeight="1" x14ac:dyDescent="0.2">
      <c r="A373" s="43"/>
      <c r="B373" s="45"/>
      <c r="C373" s="13" t="s">
        <v>31</v>
      </c>
      <c r="D373" s="13" t="s">
        <v>628</v>
      </c>
      <c r="E373" s="3">
        <f>E374</f>
        <v>8050</v>
      </c>
      <c r="F373" s="3">
        <f>F374</f>
        <v>0</v>
      </c>
      <c r="G373" s="3" t="s">
        <v>216</v>
      </c>
      <c r="H373" s="60">
        <f>H374</f>
        <v>0</v>
      </c>
    </row>
    <row r="374" spans="1:8" ht="22.5" customHeight="1" x14ac:dyDescent="0.2">
      <c r="A374" s="43"/>
      <c r="B374" s="45"/>
      <c r="C374" s="4" t="s">
        <v>30</v>
      </c>
      <c r="D374" s="4" t="s">
        <v>629</v>
      </c>
      <c r="E374" s="5">
        <f>E375</f>
        <v>8050</v>
      </c>
      <c r="F374" s="5">
        <f>F375</f>
        <v>0</v>
      </c>
      <c r="G374" s="5" t="s">
        <v>216</v>
      </c>
      <c r="H374" s="59">
        <f>H375</f>
        <v>0</v>
      </c>
    </row>
    <row r="375" spans="1:8" ht="22.5" customHeight="1" x14ac:dyDescent="0.2">
      <c r="A375" s="43"/>
      <c r="B375" s="45"/>
      <c r="C375" s="4" t="s">
        <v>58</v>
      </c>
      <c r="D375" s="4" t="s">
        <v>109</v>
      </c>
      <c r="E375" s="5">
        <f>8050</f>
        <v>8050</v>
      </c>
      <c r="F375" s="5">
        <f>0</f>
        <v>0</v>
      </c>
      <c r="G375" s="5" t="s">
        <v>216</v>
      </c>
      <c r="H375" s="59">
        <f>0</f>
        <v>0</v>
      </c>
    </row>
    <row r="376" spans="1:8" ht="22.5" customHeight="1" x14ac:dyDescent="0.2">
      <c r="A376" s="43"/>
      <c r="B376" s="45"/>
      <c r="C376" s="13" t="s">
        <v>28</v>
      </c>
      <c r="D376" s="13" t="s">
        <v>93</v>
      </c>
      <c r="E376" s="3">
        <f>E377</f>
        <v>121251</v>
      </c>
      <c r="F376" s="3">
        <f>F377</f>
        <v>17658.329000000002</v>
      </c>
      <c r="G376" s="3" t="s">
        <v>613</v>
      </c>
      <c r="H376" s="60">
        <f>H377</f>
        <v>17658.329000000002</v>
      </c>
    </row>
    <row r="377" spans="1:8" ht="22.5" customHeight="1" x14ac:dyDescent="0.2">
      <c r="A377" s="43"/>
      <c r="B377" s="45"/>
      <c r="C377" s="4" t="s">
        <v>30</v>
      </c>
      <c r="D377" s="4" t="s">
        <v>94</v>
      </c>
      <c r="E377" s="5">
        <f>E378</f>
        <v>121251</v>
      </c>
      <c r="F377" s="5">
        <f>F378</f>
        <v>17658.329000000002</v>
      </c>
      <c r="G377" s="5" t="s">
        <v>613</v>
      </c>
      <c r="H377" s="59">
        <f>H378</f>
        <v>17658.329000000002</v>
      </c>
    </row>
    <row r="378" spans="1:8" ht="22.5" customHeight="1" x14ac:dyDescent="0.2">
      <c r="A378" s="43"/>
      <c r="B378" s="45"/>
      <c r="C378" s="4" t="s">
        <v>58</v>
      </c>
      <c r="D378" s="4" t="s">
        <v>110</v>
      </c>
      <c r="E378" s="5">
        <f>121251</f>
        <v>121251</v>
      </c>
      <c r="F378" s="5">
        <f>17658.329</f>
        <v>17658.329000000002</v>
      </c>
      <c r="G378" s="5" t="s">
        <v>613</v>
      </c>
      <c r="H378" s="59">
        <f>17658.329</f>
        <v>17658.329000000002</v>
      </c>
    </row>
    <row r="379" spans="1:8" ht="22.5" customHeight="1" thickBot="1" x14ac:dyDescent="0.25">
      <c r="A379" s="37" t="s">
        <v>6</v>
      </c>
      <c r="B379" s="38"/>
      <c r="C379" s="38"/>
      <c r="D379" s="38"/>
      <c r="E379" s="55">
        <f>E359+E361+E373+E376</f>
        <v>238489.32066</v>
      </c>
      <c r="F379" s="53">
        <f>F359+F361+F373+F376</f>
        <v>28370.632700000002</v>
      </c>
      <c r="G379" s="53" t="s">
        <v>616</v>
      </c>
      <c r="H379" s="56">
        <f>H359+H361+H373+H376</f>
        <v>28370.632700000002</v>
      </c>
    </row>
    <row r="380" spans="1:8" ht="22.5" customHeight="1" x14ac:dyDescent="0.2">
      <c r="A380" s="30">
        <v>15</v>
      </c>
      <c r="B380" s="31" t="s">
        <v>20</v>
      </c>
      <c r="C380" s="13" t="s">
        <v>42</v>
      </c>
      <c r="D380" s="13" t="s">
        <v>77</v>
      </c>
      <c r="E380" s="3">
        <f>E381</f>
        <v>1320</v>
      </c>
      <c r="F380" s="3">
        <f>F381</f>
        <v>0</v>
      </c>
      <c r="G380" s="3" t="s">
        <v>216</v>
      </c>
      <c r="H380" s="60">
        <f>H381</f>
        <v>0</v>
      </c>
    </row>
    <row r="381" spans="1:8" ht="22.5" customHeight="1" x14ac:dyDescent="0.2">
      <c r="A381" s="30"/>
      <c r="B381" s="31"/>
      <c r="C381" s="4" t="s">
        <v>27</v>
      </c>
      <c r="D381" s="4" t="s">
        <v>630</v>
      </c>
      <c r="E381" s="5">
        <f>E382+E383</f>
        <v>1320</v>
      </c>
      <c r="F381" s="5">
        <f>F382+F383</f>
        <v>0</v>
      </c>
      <c r="G381" s="5" t="s">
        <v>216</v>
      </c>
      <c r="H381" s="59">
        <f>H382+H383</f>
        <v>0</v>
      </c>
    </row>
    <row r="382" spans="1:8" ht="22.5" customHeight="1" x14ac:dyDescent="0.2">
      <c r="A382" s="30"/>
      <c r="B382" s="31"/>
      <c r="C382" s="4" t="s">
        <v>86</v>
      </c>
      <c r="D382" s="4" t="s">
        <v>469</v>
      </c>
      <c r="E382" s="5">
        <f>0</f>
        <v>0</v>
      </c>
      <c r="F382" s="5">
        <f>0</f>
        <v>0</v>
      </c>
      <c r="G382" s="5" t="s">
        <v>29</v>
      </c>
      <c r="H382" s="59">
        <f>0</f>
        <v>0</v>
      </c>
    </row>
    <row r="383" spans="1:8" ht="22.5" customHeight="1" x14ac:dyDescent="0.2">
      <c r="A383" s="30"/>
      <c r="B383" s="31"/>
      <c r="C383" s="4" t="s">
        <v>453</v>
      </c>
      <c r="D383" s="4" t="s">
        <v>631</v>
      </c>
      <c r="E383" s="5">
        <f>1320</f>
        <v>1320</v>
      </c>
      <c r="F383" s="5">
        <f>0</f>
        <v>0</v>
      </c>
      <c r="G383" s="5" t="s">
        <v>216</v>
      </c>
      <c r="H383" s="59">
        <f>0</f>
        <v>0</v>
      </c>
    </row>
    <row r="384" spans="1:8" ht="22.5" customHeight="1" x14ac:dyDescent="0.2">
      <c r="A384" s="30"/>
      <c r="B384" s="31"/>
      <c r="C384" s="13" t="s">
        <v>54</v>
      </c>
      <c r="D384" s="13" t="s">
        <v>78</v>
      </c>
      <c r="E384" s="3">
        <f>E385+E391+E393+E397</f>
        <v>44491.374450000003</v>
      </c>
      <c r="F384" s="3">
        <f>F385+F391+F393+F397</f>
        <v>3761.7817799999998</v>
      </c>
      <c r="G384" s="3" t="s">
        <v>632</v>
      </c>
      <c r="H384" s="60">
        <f>H385+H391+H393+H397</f>
        <v>3761.7817799999998</v>
      </c>
    </row>
    <row r="385" spans="1:8" ht="22.5" customHeight="1" x14ac:dyDescent="0.2">
      <c r="A385" s="30"/>
      <c r="B385" s="31"/>
      <c r="C385" s="4" t="s">
        <v>30</v>
      </c>
      <c r="D385" s="4" t="s">
        <v>79</v>
      </c>
      <c r="E385" s="5">
        <f>E386+E387+E388+E389+E390</f>
        <v>33302.374450000003</v>
      </c>
      <c r="F385" s="5">
        <f>F386+F387+F388+F389+F390</f>
        <v>2842.4046399999997</v>
      </c>
      <c r="G385" s="5" t="s">
        <v>632</v>
      </c>
      <c r="H385" s="59">
        <f>H386+H387+H388+H389+H390</f>
        <v>2842.4046399999997</v>
      </c>
    </row>
    <row r="386" spans="1:8" ht="22.5" customHeight="1" x14ac:dyDescent="0.2">
      <c r="A386" s="30"/>
      <c r="B386" s="31"/>
      <c r="C386" s="4" t="s">
        <v>57</v>
      </c>
      <c r="D386" s="4" t="s">
        <v>80</v>
      </c>
      <c r="E386" s="5">
        <f>0</f>
        <v>0</v>
      </c>
      <c r="F386" s="5">
        <f>0</f>
        <v>0</v>
      </c>
      <c r="G386" s="5" t="s">
        <v>29</v>
      </c>
      <c r="H386" s="59">
        <f>0</f>
        <v>0</v>
      </c>
    </row>
    <row r="387" spans="1:8" ht="22.5" customHeight="1" x14ac:dyDescent="0.2">
      <c r="A387" s="30"/>
      <c r="B387" s="31"/>
      <c r="C387" s="4" t="s">
        <v>58</v>
      </c>
      <c r="D387" s="4" t="s">
        <v>81</v>
      </c>
      <c r="E387" s="5">
        <f>1900</f>
        <v>1900</v>
      </c>
      <c r="F387" s="5">
        <f>300.62774</f>
        <v>300.62774000000002</v>
      </c>
      <c r="G387" s="5" t="s">
        <v>509</v>
      </c>
      <c r="H387" s="59">
        <f>300.62774</f>
        <v>300.62774000000002</v>
      </c>
    </row>
    <row r="388" spans="1:8" ht="22.5" customHeight="1" x14ac:dyDescent="0.2">
      <c r="A388" s="30"/>
      <c r="B388" s="31"/>
      <c r="C388" s="4" t="s">
        <v>45</v>
      </c>
      <c r="D388" s="4" t="s">
        <v>82</v>
      </c>
      <c r="E388" s="5">
        <f>0</f>
        <v>0</v>
      </c>
      <c r="F388" s="5">
        <f>0</f>
        <v>0</v>
      </c>
      <c r="G388" s="5" t="s">
        <v>29</v>
      </c>
      <c r="H388" s="59">
        <f>0</f>
        <v>0</v>
      </c>
    </row>
    <row r="389" spans="1:8" ht="22.5" customHeight="1" x14ac:dyDescent="0.2">
      <c r="A389" s="30"/>
      <c r="B389" s="31"/>
      <c r="C389" s="4" t="s">
        <v>46</v>
      </c>
      <c r="D389" s="4" t="s">
        <v>83</v>
      </c>
      <c r="E389" s="5">
        <f>31402.37445</f>
        <v>31402.374449999999</v>
      </c>
      <c r="F389" s="5">
        <f>2541.7769</f>
        <v>2541.7768999999998</v>
      </c>
      <c r="G389" s="5" t="s">
        <v>200</v>
      </c>
      <c r="H389" s="59">
        <f>2541.7769</f>
        <v>2541.7768999999998</v>
      </c>
    </row>
    <row r="390" spans="1:8" ht="22.5" customHeight="1" x14ac:dyDescent="0.2">
      <c r="A390" s="30"/>
      <c r="B390" s="31"/>
      <c r="C390" s="4" t="s">
        <v>84</v>
      </c>
      <c r="D390" s="4" t="s">
        <v>633</v>
      </c>
      <c r="E390" s="5">
        <f>0</f>
        <v>0</v>
      </c>
      <c r="F390" s="5">
        <f>0</f>
        <v>0</v>
      </c>
      <c r="G390" s="5" t="s">
        <v>29</v>
      </c>
      <c r="H390" s="59">
        <f>0</f>
        <v>0</v>
      </c>
    </row>
    <row r="391" spans="1:8" ht="22.5" customHeight="1" x14ac:dyDescent="0.2">
      <c r="A391" s="30"/>
      <c r="B391" s="31"/>
      <c r="C391" s="4" t="s">
        <v>27</v>
      </c>
      <c r="D391" s="4" t="s">
        <v>85</v>
      </c>
      <c r="E391" s="5">
        <f>E392</f>
        <v>2500</v>
      </c>
      <c r="F391" s="5">
        <f>F392</f>
        <v>0</v>
      </c>
      <c r="G391" s="5" t="s">
        <v>216</v>
      </c>
      <c r="H391" s="59">
        <f>H392</f>
        <v>0</v>
      </c>
    </row>
    <row r="392" spans="1:8" ht="22.5" customHeight="1" x14ac:dyDescent="0.2">
      <c r="A392" s="30"/>
      <c r="B392" s="31"/>
      <c r="C392" s="4" t="s">
        <v>86</v>
      </c>
      <c r="D392" s="4" t="s">
        <v>471</v>
      </c>
      <c r="E392" s="5">
        <f>2500</f>
        <v>2500</v>
      </c>
      <c r="F392" s="5">
        <f>0</f>
        <v>0</v>
      </c>
      <c r="G392" s="5" t="s">
        <v>216</v>
      </c>
      <c r="H392" s="59">
        <f>0</f>
        <v>0</v>
      </c>
    </row>
    <row r="393" spans="1:8" ht="22.5" customHeight="1" x14ac:dyDescent="0.2">
      <c r="A393" s="30"/>
      <c r="B393" s="31"/>
      <c r="C393" s="4" t="s">
        <v>68</v>
      </c>
      <c r="D393" s="4" t="s">
        <v>87</v>
      </c>
      <c r="E393" s="5">
        <f>E394+E395+E396</f>
        <v>7900</v>
      </c>
      <c r="F393" s="5">
        <f>F394+F395+F396</f>
        <v>919.37714000000005</v>
      </c>
      <c r="G393" s="5" t="s">
        <v>634</v>
      </c>
      <c r="H393" s="59">
        <f>H394+H395+H396</f>
        <v>919.37714000000005</v>
      </c>
    </row>
    <row r="394" spans="1:8" ht="22.5" customHeight="1" x14ac:dyDescent="0.2">
      <c r="A394" s="30"/>
      <c r="B394" s="31"/>
      <c r="C394" s="4" t="s">
        <v>71</v>
      </c>
      <c r="D394" s="4" t="s">
        <v>88</v>
      </c>
      <c r="E394" s="5">
        <f>1550</f>
        <v>1550</v>
      </c>
      <c r="F394" s="5">
        <f>0</f>
        <v>0</v>
      </c>
      <c r="G394" s="5" t="s">
        <v>216</v>
      </c>
      <c r="H394" s="59">
        <f>0</f>
        <v>0</v>
      </c>
    </row>
    <row r="395" spans="1:8" ht="22.5" customHeight="1" x14ac:dyDescent="0.2">
      <c r="A395" s="30"/>
      <c r="B395" s="31"/>
      <c r="C395" s="4" t="s">
        <v>72</v>
      </c>
      <c r="D395" s="4" t="s">
        <v>89</v>
      </c>
      <c r="E395" s="5">
        <f>0</f>
        <v>0</v>
      </c>
      <c r="F395" s="5">
        <f>0</f>
        <v>0</v>
      </c>
      <c r="G395" s="5" t="s">
        <v>29</v>
      </c>
      <c r="H395" s="59">
        <f>0</f>
        <v>0</v>
      </c>
    </row>
    <row r="396" spans="1:8" ht="22.5" customHeight="1" x14ac:dyDescent="0.2">
      <c r="A396" s="30"/>
      <c r="B396" s="31"/>
      <c r="C396" s="4" t="s">
        <v>90</v>
      </c>
      <c r="D396" s="4" t="s">
        <v>91</v>
      </c>
      <c r="E396" s="5">
        <f>6350</f>
        <v>6350</v>
      </c>
      <c r="F396" s="5">
        <f>919.37714</f>
        <v>919.37714000000005</v>
      </c>
      <c r="G396" s="5" t="s">
        <v>553</v>
      </c>
      <c r="H396" s="59">
        <f>919.37714</f>
        <v>919.37714000000005</v>
      </c>
    </row>
    <row r="397" spans="1:8" ht="22.5" customHeight="1" x14ac:dyDescent="0.2">
      <c r="A397" s="30"/>
      <c r="B397" s="31"/>
      <c r="C397" s="4" t="s">
        <v>76</v>
      </c>
      <c r="D397" s="4" t="s">
        <v>92</v>
      </c>
      <c r="E397" s="5">
        <f>E398</f>
        <v>789</v>
      </c>
      <c r="F397" s="5">
        <f>F398</f>
        <v>0</v>
      </c>
      <c r="G397" s="5" t="s">
        <v>216</v>
      </c>
      <c r="H397" s="59">
        <f>H398</f>
        <v>0</v>
      </c>
    </row>
    <row r="398" spans="1:8" ht="22.5" customHeight="1" x14ac:dyDescent="0.2">
      <c r="A398" s="30"/>
      <c r="B398" s="31"/>
      <c r="C398" s="4" t="s">
        <v>239</v>
      </c>
      <c r="D398" s="4" t="s">
        <v>635</v>
      </c>
      <c r="E398" s="5">
        <f>789</f>
        <v>789</v>
      </c>
      <c r="F398" s="5">
        <f>0</f>
        <v>0</v>
      </c>
      <c r="G398" s="5" t="s">
        <v>216</v>
      </c>
      <c r="H398" s="59">
        <f>0</f>
        <v>0</v>
      </c>
    </row>
    <row r="399" spans="1:8" ht="22.5" customHeight="1" x14ac:dyDescent="0.2">
      <c r="A399" s="30"/>
      <c r="B399" s="31"/>
      <c r="C399" s="13" t="s">
        <v>31</v>
      </c>
      <c r="D399" s="13" t="s">
        <v>93</v>
      </c>
      <c r="E399" s="3">
        <f>E400</f>
        <v>97253.01</v>
      </c>
      <c r="F399" s="3">
        <f>F400</f>
        <v>18416.636050000001</v>
      </c>
      <c r="G399" s="3" t="s">
        <v>340</v>
      </c>
      <c r="H399" s="60">
        <f>H400</f>
        <v>18416.636050000001</v>
      </c>
    </row>
    <row r="400" spans="1:8" ht="22.5" customHeight="1" x14ac:dyDescent="0.2">
      <c r="A400" s="30"/>
      <c r="B400" s="31"/>
      <c r="C400" s="4" t="s">
        <v>30</v>
      </c>
      <c r="D400" s="4" t="s">
        <v>94</v>
      </c>
      <c r="E400" s="5">
        <f>E401+E402</f>
        <v>97253.01</v>
      </c>
      <c r="F400" s="5">
        <f>F401+F402</f>
        <v>18416.636050000001</v>
      </c>
      <c r="G400" s="5" t="s">
        <v>340</v>
      </c>
      <c r="H400" s="59">
        <f>H401+H402</f>
        <v>18416.636050000001</v>
      </c>
    </row>
    <row r="401" spans="1:8" ht="22.5" customHeight="1" x14ac:dyDescent="0.2">
      <c r="A401" s="30"/>
      <c r="B401" s="31"/>
      <c r="C401" s="4" t="s">
        <v>57</v>
      </c>
      <c r="D401" s="4" t="s">
        <v>95</v>
      </c>
      <c r="E401" s="5">
        <f>85036.68</f>
        <v>85036.68</v>
      </c>
      <c r="F401" s="5">
        <f>16727.605</f>
        <v>16727.605</v>
      </c>
      <c r="G401" s="5" t="s">
        <v>558</v>
      </c>
      <c r="H401" s="59">
        <f>16727.605</f>
        <v>16727.605</v>
      </c>
    </row>
    <row r="402" spans="1:8" ht="22.5" customHeight="1" x14ac:dyDescent="0.2">
      <c r="A402" s="30"/>
      <c r="B402" s="31"/>
      <c r="C402" s="4" t="s">
        <v>58</v>
      </c>
      <c r="D402" s="4" t="s">
        <v>96</v>
      </c>
      <c r="E402" s="5">
        <f>12216.33</f>
        <v>12216.33</v>
      </c>
      <c r="F402" s="5">
        <f>1689.03105</f>
        <v>1689.0310500000001</v>
      </c>
      <c r="G402" s="5" t="s">
        <v>636</v>
      </c>
      <c r="H402" s="59">
        <f>1689.03105</f>
        <v>1689.0310500000001</v>
      </c>
    </row>
    <row r="403" spans="1:8" ht="22.5" customHeight="1" thickBot="1" x14ac:dyDescent="0.25">
      <c r="A403" s="32" t="s">
        <v>6</v>
      </c>
      <c r="B403" s="33"/>
      <c r="C403" s="33"/>
      <c r="D403" s="34"/>
      <c r="E403" s="55">
        <f>E380+E384+E399</f>
        <v>143064.38445000001</v>
      </c>
      <c r="F403" s="53">
        <f>F380+F384+F399</f>
        <v>22178.417830000002</v>
      </c>
      <c r="G403" s="53" t="s">
        <v>565</v>
      </c>
      <c r="H403" s="56">
        <f>H380+H384+H399</f>
        <v>22178.417830000002</v>
      </c>
    </row>
    <row r="404" spans="1:8" ht="22.5" customHeight="1" x14ac:dyDescent="0.2">
      <c r="A404" s="35">
        <v>16</v>
      </c>
      <c r="B404" s="36" t="s">
        <v>21</v>
      </c>
      <c r="C404" s="13" t="s">
        <v>42</v>
      </c>
      <c r="D404" s="13" t="s">
        <v>637</v>
      </c>
      <c r="E404" s="3">
        <f>E405+E406</f>
        <v>100</v>
      </c>
      <c r="F404" s="3">
        <f>F405+F406</f>
        <v>0</v>
      </c>
      <c r="G404" s="3" t="s">
        <v>216</v>
      </c>
      <c r="H404" s="60">
        <f>H405+H406</f>
        <v>0</v>
      </c>
    </row>
    <row r="405" spans="1:8" ht="22.5" customHeight="1" x14ac:dyDescent="0.2">
      <c r="A405" s="43"/>
      <c r="B405" s="45"/>
      <c r="C405" s="4" t="s">
        <v>27</v>
      </c>
      <c r="D405" s="4" t="s">
        <v>70</v>
      </c>
      <c r="E405" s="5">
        <f>0</f>
        <v>0</v>
      </c>
      <c r="F405" s="5">
        <f>0</f>
        <v>0</v>
      </c>
      <c r="G405" s="5" t="s">
        <v>29</v>
      </c>
      <c r="H405" s="59">
        <f>0</f>
        <v>0</v>
      </c>
    </row>
    <row r="406" spans="1:8" ht="22.5" customHeight="1" x14ac:dyDescent="0.2">
      <c r="A406" s="43"/>
      <c r="B406" s="45"/>
      <c r="C406" s="4" t="s">
        <v>68</v>
      </c>
      <c r="D406" s="4" t="s">
        <v>638</v>
      </c>
      <c r="E406" s="5">
        <f>E407+E408</f>
        <v>100</v>
      </c>
      <c r="F406" s="5">
        <f>F407+F408</f>
        <v>0</v>
      </c>
      <c r="G406" s="5" t="s">
        <v>216</v>
      </c>
      <c r="H406" s="59">
        <f>H407+H408</f>
        <v>0</v>
      </c>
    </row>
    <row r="407" spans="1:8" ht="22.5" customHeight="1" x14ac:dyDescent="0.2">
      <c r="A407" s="43"/>
      <c r="B407" s="45"/>
      <c r="C407" s="4" t="s">
        <v>71</v>
      </c>
      <c r="D407" s="4" t="s">
        <v>639</v>
      </c>
      <c r="E407" s="5">
        <f>0</f>
        <v>0</v>
      </c>
      <c r="F407" s="5">
        <f>0</f>
        <v>0</v>
      </c>
      <c r="G407" s="5" t="s">
        <v>29</v>
      </c>
      <c r="H407" s="59">
        <f>0</f>
        <v>0</v>
      </c>
    </row>
    <row r="408" spans="1:8" ht="22.5" customHeight="1" x14ac:dyDescent="0.2">
      <c r="A408" s="43"/>
      <c r="B408" s="45"/>
      <c r="C408" s="4" t="s">
        <v>72</v>
      </c>
      <c r="D408" s="4" t="s">
        <v>640</v>
      </c>
      <c r="E408" s="5">
        <f>100</f>
        <v>100</v>
      </c>
      <c r="F408" s="5">
        <f>0</f>
        <v>0</v>
      </c>
      <c r="G408" s="5" t="s">
        <v>216</v>
      </c>
      <c r="H408" s="59">
        <f>0</f>
        <v>0</v>
      </c>
    </row>
    <row r="409" spans="1:8" ht="22.5" customHeight="1" x14ac:dyDescent="0.2">
      <c r="A409" s="43"/>
      <c r="B409" s="45"/>
      <c r="C409" s="13" t="s">
        <v>54</v>
      </c>
      <c r="D409" s="13" t="s">
        <v>641</v>
      </c>
      <c r="E409" s="3">
        <f>E410+E411+E412</f>
        <v>695</v>
      </c>
      <c r="F409" s="3">
        <f>F410+F411+F412</f>
        <v>595</v>
      </c>
      <c r="G409" s="3" t="s">
        <v>642</v>
      </c>
      <c r="H409" s="60">
        <f>H410+H411+H412</f>
        <v>595</v>
      </c>
    </row>
    <row r="410" spans="1:8" ht="22.5" customHeight="1" x14ac:dyDescent="0.2">
      <c r="A410" s="43"/>
      <c r="B410" s="45"/>
      <c r="C410" s="4" t="s">
        <v>30</v>
      </c>
      <c r="D410" s="4" t="s">
        <v>643</v>
      </c>
      <c r="E410" s="5">
        <f>0</f>
        <v>0</v>
      </c>
      <c r="F410" s="5">
        <f>0</f>
        <v>0</v>
      </c>
      <c r="G410" s="5" t="s">
        <v>29</v>
      </c>
      <c r="H410" s="59">
        <f>0</f>
        <v>0</v>
      </c>
    </row>
    <row r="411" spans="1:8" ht="22.5" customHeight="1" x14ac:dyDescent="0.2">
      <c r="A411" s="43"/>
      <c r="B411" s="45"/>
      <c r="C411" s="4" t="s">
        <v>73</v>
      </c>
      <c r="D411" s="4" t="s">
        <v>74</v>
      </c>
      <c r="E411" s="5">
        <f>0</f>
        <v>0</v>
      </c>
      <c r="F411" s="5">
        <f>0</f>
        <v>0</v>
      </c>
      <c r="G411" s="5" t="s">
        <v>29</v>
      </c>
      <c r="H411" s="59">
        <f>0</f>
        <v>0</v>
      </c>
    </row>
    <row r="412" spans="1:8" ht="22.5" customHeight="1" x14ac:dyDescent="0.2">
      <c r="A412" s="43"/>
      <c r="B412" s="45"/>
      <c r="C412" s="4" t="s">
        <v>76</v>
      </c>
      <c r="D412" s="4" t="s">
        <v>644</v>
      </c>
      <c r="E412" s="5">
        <f>E413</f>
        <v>695</v>
      </c>
      <c r="F412" s="5">
        <f>F413</f>
        <v>595</v>
      </c>
      <c r="G412" s="5" t="s">
        <v>642</v>
      </c>
      <c r="H412" s="59">
        <f>H413</f>
        <v>595</v>
      </c>
    </row>
    <row r="413" spans="1:8" ht="22.5" customHeight="1" x14ac:dyDescent="0.2">
      <c r="A413" s="43"/>
      <c r="B413" s="45"/>
      <c r="C413" s="4" t="s">
        <v>239</v>
      </c>
      <c r="D413" s="4" t="s">
        <v>645</v>
      </c>
      <c r="E413" s="5">
        <f>695</f>
        <v>695</v>
      </c>
      <c r="F413" s="5">
        <f>595</f>
        <v>595</v>
      </c>
      <c r="G413" s="5" t="s">
        <v>642</v>
      </c>
      <c r="H413" s="59">
        <f>595</f>
        <v>595</v>
      </c>
    </row>
    <row r="414" spans="1:8" ht="22.5" customHeight="1" thickBot="1" x14ac:dyDescent="0.25">
      <c r="A414" s="37" t="s">
        <v>6</v>
      </c>
      <c r="B414" s="38"/>
      <c r="C414" s="38"/>
      <c r="D414" s="38"/>
      <c r="E414" s="55">
        <f>E404+E409</f>
        <v>795</v>
      </c>
      <c r="F414" s="53">
        <f>F404+F409</f>
        <v>595</v>
      </c>
      <c r="G414" s="53" t="s">
        <v>646</v>
      </c>
      <c r="H414" s="56">
        <f>H404+H409</f>
        <v>595</v>
      </c>
    </row>
    <row r="415" spans="1:8" ht="22.5" customHeight="1" x14ac:dyDescent="0.2">
      <c r="A415" s="35">
        <v>17</v>
      </c>
      <c r="B415" s="36" t="s">
        <v>22</v>
      </c>
      <c r="C415" s="13" t="s">
        <v>42</v>
      </c>
      <c r="D415" s="13" t="s">
        <v>43</v>
      </c>
      <c r="E415" s="3">
        <f>E416+E420</f>
        <v>186631.5</v>
      </c>
      <c r="F415" s="3">
        <f>F416+F420</f>
        <v>1181.277</v>
      </c>
      <c r="G415" s="3" t="s">
        <v>647</v>
      </c>
      <c r="H415" s="60">
        <f>H416+H420</f>
        <v>1181.277</v>
      </c>
    </row>
    <row r="416" spans="1:8" ht="22.5" customHeight="1" x14ac:dyDescent="0.2">
      <c r="A416" s="43"/>
      <c r="B416" s="45"/>
      <c r="C416" s="4" t="s">
        <v>648</v>
      </c>
      <c r="D416" s="4" t="s">
        <v>53</v>
      </c>
      <c r="E416" s="5">
        <f>E417+E418+E419</f>
        <v>109051.5</v>
      </c>
      <c r="F416" s="5">
        <f>F417+F418+F419</f>
        <v>0</v>
      </c>
      <c r="G416" s="5" t="s">
        <v>216</v>
      </c>
      <c r="H416" s="59">
        <f>H417+H418+H419</f>
        <v>0</v>
      </c>
    </row>
    <row r="417" spans="1:8" ht="22.5" customHeight="1" x14ac:dyDescent="0.2">
      <c r="A417" s="43"/>
      <c r="B417" s="45"/>
      <c r="C417" s="4" t="s">
        <v>649</v>
      </c>
      <c r="D417" s="4" t="s">
        <v>650</v>
      </c>
      <c r="E417" s="5">
        <f>0</f>
        <v>0</v>
      </c>
      <c r="F417" s="5">
        <f>0</f>
        <v>0</v>
      </c>
      <c r="G417" s="5" t="s">
        <v>29</v>
      </c>
      <c r="H417" s="59">
        <f>0</f>
        <v>0</v>
      </c>
    </row>
    <row r="418" spans="1:8" ht="22.5" customHeight="1" x14ac:dyDescent="0.2">
      <c r="A418" s="43"/>
      <c r="B418" s="45"/>
      <c r="C418" s="4" t="s">
        <v>651</v>
      </c>
      <c r="D418" s="4" t="s">
        <v>652</v>
      </c>
      <c r="E418" s="5">
        <f>15419.23+63250.27</f>
        <v>78669.5</v>
      </c>
      <c r="F418" s="5">
        <f>0</f>
        <v>0</v>
      </c>
      <c r="G418" s="5" t="s">
        <v>216</v>
      </c>
      <c r="H418" s="59">
        <f>0</f>
        <v>0</v>
      </c>
    </row>
    <row r="419" spans="1:8" ht="22.5" customHeight="1" x14ac:dyDescent="0.2">
      <c r="A419" s="43"/>
      <c r="B419" s="45"/>
      <c r="C419" s="4" t="s">
        <v>653</v>
      </c>
      <c r="D419" s="4" t="s">
        <v>654</v>
      </c>
      <c r="E419" s="5">
        <f>30382</f>
        <v>30382</v>
      </c>
      <c r="F419" s="5">
        <f>0</f>
        <v>0</v>
      </c>
      <c r="G419" s="5" t="s">
        <v>216</v>
      </c>
      <c r="H419" s="59">
        <f>0</f>
        <v>0</v>
      </c>
    </row>
    <row r="420" spans="1:8" ht="22.5" customHeight="1" x14ac:dyDescent="0.2">
      <c r="A420" s="43"/>
      <c r="B420" s="45"/>
      <c r="C420" s="4" t="s">
        <v>30</v>
      </c>
      <c r="D420" s="4" t="s">
        <v>44</v>
      </c>
      <c r="E420" s="5">
        <f>E421+E422+E423</f>
        <v>77580</v>
      </c>
      <c r="F420" s="5">
        <f>F421+F422+F423</f>
        <v>1181.277</v>
      </c>
      <c r="G420" s="5" t="s">
        <v>550</v>
      </c>
      <c r="H420" s="59">
        <f>H421+H422+H423</f>
        <v>1181.277</v>
      </c>
    </row>
    <row r="421" spans="1:8" ht="22.5" customHeight="1" x14ac:dyDescent="0.2">
      <c r="A421" s="43"/>
      <c r="B421" s="45"/>
      <c r="C421" s="4" t="s">
        <v>49</v>
      </c>
      <c r="D421" s="4" t="s">
        <v>50</v>
      </c>
      <c r="E421" s="5">
        <f>44952</f>
        <v>44952</v>
      </c>
      <c r="F421" s="5">
        <f>1181.277</f>
        <v>1181.277</v>
      </c>
      <c r="G421" s="5" t="s">
        <v>655</v>
      </c>
      <c r="H421" s="59">
        <f>1181.277</f>
        <v>1181.277</v>
      </c>
    </row>
    <row r="422" spans="1:8" ht="22.5" customHeight="1" x14ac:dyDescent="0.2">
      <c r="A422" s="43"/>
      <c r="B422" s="45"/>
      <c r="C422" s="4" t="s">
        <v>258</v>
      </c>
      <c r="D422" s="4" t="s">
        <v>656</v>
      </c>
      <c r="E422" s="5">
        <f>20628</f>
        <v>20628</v>
      </c>
      <c r="F422" s="5">
        <f>0</f>
        <v>0</v>
      </c>
      <c r="G422" s="5" t="s">
        <v>216</v>
      </c>
      <c r="H422" s="59">
        <f>0</f>
        <v>0</v>
      </c>
    </row>
    <row r="423" spans="1:8" ht="22.5" customHeight="1" x14ac:dyDescent="0.2">
      <c r="A423" s="43"/>
      <c r="B423" s="45"/>
      <c r="C423" s="4" t="s">
        <v>261</v>
      </c>
      <c r="D423" s="4" t="s">
        <v>657</v>
      </c>
      <c r="E423" s="5">
        <f>12000</f>
        <v>12000</v>
      </c>
      <c r="F423" s="5">
        <f>0</f>
        <v>0</v>
      </c>
      <c r="G423" s="5" t="s">
        <v>216</v>
      </c>
      <c r="H423" s="59">
        <f>0</f>
        <v>0</v>
      </c>
    </row>
    <row r="424" spans="1:8" ht="22.5" customHeight="1" x14ac:dyDescent="0.2">
      <c r="A424" s="43"/>
      <c r="B424" s="45"/>
      <c r="C424" s="13" t="s">
        <v>54</v>
      </c>
      <c r="D424" s="13" t="s">
        <v>55</v>
      </c>
      <c r="E424" s="3">
        <f>E425+E443+E445</f>
        <v>564038.24393000011</v>
      </c>
      <c r="F424" s="3">
        <f>F425+F443+F445</f>
        <v>48462.19442</v>
      </c>
      <c r="G424" s="3" t="s">
        <v>470</v>
      </c>
      <c r="H424" s="60">
        <f>H425+H443+H445</f>
        <v>48462.19442</v>
      </c>
    </row>
    <row r="425" spans="1:8" ht="22.5" customHeight="1" x14ac:dyDescent="0.2">
      <c r="A425" s="43"/>
      <c r="B425" s="45"/>
      <c r="C425" s="4" t="s">
        <v>30</v>
      </c>
      <c r="D425" s="4" t="s">
        <v>56</v>
      </c>
      <c r="E425" s="5">
        <f>E426+E427+E428+E429+E430+E431+E432+E433+E434+E435+E436+E437+E438+E439+E440+E441+E442</f>
        <v>443994.24393000006</v>
      </c>
      <c r="F425" s="5">
        <f>F426+F427+F428+F429+F430+F431+F432+F433+F434+F435+F436+F437+F438+F439+F440+F441+F442</f>
        <v>48462.19442</v>
      </c>
      <c r="G425" s="5" t="s">
        <v>514</v>
      </c>
      <c r="H425" s="59">
        <f>H426+H427+H428+H429+H430+H431+H432+H433+H434+H435+H436+H437+H438+H439+H440+H441+H442</f>
        <v>48462.19442</v>
      </c>
    </row>
    <row r="426" spans="1:8" ht="22.5" customHeight="1" x14ac:dyDescent="0.2">
      <c r="A426" s="43"/>
      <c r="B426" s="45"/>
      <c r="C426" s="4" t="s">
        <v>45</v>
      </c>
      <c r="D426" s="4" t="s">
        <v>59</v>
      </c>
      <c r="E426" s="5">
        <f>1591</f>
        <v>1591</v>
      </c>
      <c r="F426" s="5">
        <f>175.54151</f>
        <v>175.54150999999999</v>
      </c>
      <c r="G426" s="5" t="s">
        <v>658</v>
      </c>
      <c r="H426" s="59">
        <f>175.54151</f>
        <v>175.54150999999999</v>
      </c>
    </row>
    <row r="427" spans="1:8" ht="22.5" customHeight="1" x14ac:dyDescent="0.2">
      <c r="A427" s="43"/>
      <c r="B427" s="45"/>
      <c r="C427" s="4" t="s">
        <v>47</v>
      </c>
      <c r="D427" s="4" t="s">
        <v>659</v>
      </c>
      <c r="E427" s="5">
        <f>6000</f>
        <v>6000</v>
      </c>
      <c r="F427" s="5">
        <f>0</f>
        <v>0</v>
      </c>
      <c r="G427" s="5" t="s">
        <v>216</v>
      </c>
      <c r="H427" s="59">
        <f>0</f>
        <v>0</v>
      </c>
    </row>
    <row r="428" spans="1:8" ht="22.5" customHeight="1" x14ac:dyDescent="0.2">
      <c r="A428" s="43"/>
      <c r="B428" s="45"/>
      <c r="C428" s="4" t="s">
        <v>60</v>
      </c>
      <c r="D428" s="4" t="s">
        <v>61</v>
      </c>
      <c r="E428" s="5">
        <f>7014.39+201227.57001</f>
        <v>208241.96001000001</v>
      </c>
      <c r="F428" s="5">
        <f>1200+28148.32898</f>
        <v>29348.328979999998</v>
      </c>
      <c r="G428" s="5" t="s">
        <v>465</v>
      </c>
      <c r="H428" s="59">
        <f>1200+28148.32898</f>
        <v>29348.328979999998</v>
      </c>
    </row>
    <row r="429" spans="1:8" ht="22.5" customHeight="1" x14ac:dyDescent="0.2">
      <c r="A429" s="43"/>
      <c r="B429" s="45"/>
      <c r="C429" s="4" t="s">
        <v>62</v>
      </c>
      <c r="D429" s="4" t="s">
        <v>474</v>
      </c>
      <c r="E429" s="5">
        <f>29880.51962</f>
        <v>29880.519619999999</v>
      </c>
      <c r="F429" s="5">
        <f>3471.32246</f>
        <v>3471.3224599999999</v>
      </c>
      <c r="G429" s="5" t="s">
        <v>634</v>
      </c>
      <c r="H429" s="59">
        <f>3471.32246</f>
        <v>3471.3224599999999</v>
      </c>
    </row>
    <row r="430" spans="1:8" ht="22.5" customHeight="1" x14ac:dyDescent="0.2">
      <c r="A430" s="43"/>
      <c r="B430" s="45"/>
      <c r="C430" s="4" t="s">
        <v>63</v>
      </c>
      <c r="D430" s="4" t="s">
        <v>660</v>
      </c>
      <c r="E430" s="5">
        <f>14368.9</f>
        <v>14368.9</v>
      </c>
      <c r="F430" s="5">
        <f>0</f>
        <v>0</v>
      </c>
      <c r="G430" s="5" t="s">
        <v>216</v>
      </c>
      <c r="H430" s="59">
        <f>0</f>
        <v>0</v>
      </c>
    </row>
    <row r="431" spans="1:8" ht="22.5" customHeight="1" x14ac:dyDescent="0.2">
      <c r="A431" s="43"/>
      <c r="B431" s="45"/>
      <c r="C431" s="4" t="s">
        <v>64</v>
      </c>
      <c r="D431" s="4" t="s">
        <v>65</v>
      </c>
      <c r="E431" s="5">
        <f>42562.56615</f>
        <v>42562.566149999999</v>
      </c>
      <c r="F431" s="5">
        <f>7683.05021</f>
        <v>7683.0502100000003</v>
      </c>
      <c r="G431" s="5" t="s">
        <v>196</v>
      </c>
      <c r="H431" s="59">
        <f>7683.05021</f>
        <v>7683.0502100000003</v>
      </c>
    </row>
    <row r="432" spans="1:8" ht="22.5" customHeight="1" x14ac:dyDescent="0.2">
      <c r="A432" s="43"/>
      <c r="B432" s="45"/>
      <c r="C432" s="4" t="s">
        <v>51</v>
      </c>
      <c r="D432" s="4" t="s">
        <v>66</v>
      </c>
      <c r="E432" s="5">
        <f>19818.36451+20650</f>
        <v>40468.364509999999</v>
      </c>
      <c r="F432" s="5">
        <f>6609.58433+1174.36693</f>
        <v>7783.9512599999998</v>
      </c>
      <c r="G432" s="5" t="s">
        <v>661</v>
      </c>
      <c r="H432" s="59">
        <f>6609.58433+1174.36693</f>
        <v>7783.9512599999998</v>
      </c>
    </row>
    <row r="433" spans="1:8" ht="22.5" customHeight="1" x14ac:dyDescent="0.2">
      <c r="A433" s="43"/>
      <c r="B433" s="45"/>
      <c r="C433" s="4" t="s">
        <v>52</v>
      </c>
      <c r="D433" s="4" t="s">
        <v>67</v>
      </c>
      <c r="E433" s="5">
        <f>36870</f>
        <v>36870</v>
      </c>
      <c r="F433" s="5">
        <f>0</f>
        <v>0</v>
      </c>
      <c r="G433" s="5" t="s">
        <v>216</v>
      </c>
      <c r="H433" s="59">
        <f>0</f>
        <v>0</v>
      </c>
    </row>
    <row r="434" spans="1:8" ht="22.5" customHeight="1" x14ac:dyDescent="0.2">
      <c r="A434" s="43"/>
      <c r="B434" s="45"/>
      <c r="C434" s="4" t="s">
        <v>258</v>
      </c>
      <c r="D434" s="4" t="s">
        <v>475</v>
      </c>
      <c r="E434" s="5">
        <f>520</f>
        <v>520</v>
      </c>
      <c r="F434" s="5">
        <f>0</f>
        <v>0</v>
      </c>
      <c r="G434" s="5" t="s">
        <v>216</v>
      </c>
      <c r="H434" s="59">
        <f>0</f>
        <v>0</v>
      </c>
    </row>
    <row r="435" spans="1:8" ht="22.5" customHeight="1" x14ac:dyDescent="0.2">
      <c r="A435" s="43"/>
      <c r="B435" s="45"/>
      <c r="C435" s="4" t="s">
        <v>261</v>
      </c>
      <c r="D435" s="4" t="s">
        <v>662</v>
      </c>
      <c r="E435" s="5">
        <f>757</f>
        <v>757</v>
      </c>
      <c r="F435" s="5">
        <f>0</f>
        <v>0</v>
      </c>
      <c r="G435" s="5" t="s">
        <v>216</v>
      </c>
      <c r="H435" s="59">
        <f>0</f>
        <v>0</v>
      </c>
    </row>
    <row r="436" spans="1:8" ht="22.5" customHeight="1" x14ac:dyDescent="0.2">
      <c r="A436" s="43"/>
      <c r="B436" s="45"/>
      <c r="C436" s="4" t="s">
        <v>478</v>
      </c>
      <c r="D436" s="4" t="s">
        <v>479</v>
      </c>
      <c r="E436" s="5">
        <f>0</f>
        <v>0</v>
      </c>
      <c r="F436" s="5">
        <f>0</f>
        <v>0</v>
      </c>
      <c r="G436" s="5" t="s">
        <v>29</v>
      </c>
      <c r="H436" s="59">
        <f>0</f>
        <v>0</v>
      </c>
    </row>
    <row r="437" spans="1:8" ht="22.5" customHeight="1" x14ac:dyDescent="0.2">
      <c r="A437" s="43"/>
      <c r="B437" s="45"/>
      <c r="C437" s="4" t="s">
        <v>663</v>
      </c>
      <c r="D437" s="4" t="s">
        <v>664</v>
      </c>
      <c r="E437" s="5">
        <f>3227.38864</f>
        <v>3227.3886400000001</v>
      </c>
      <c r="F437" s="5">
        <f>0</f>
        <v>0</v>
      </c>
      <c r="G437" s="5" t="s">
        <v>216</v>
      </c>
      <c r="H437" s="59">
        <f>0</f>
        <v>0</v>
      </c>
    </row>
    <row r="438" spans="1:8" ht="22.5" customHeight="1" x14ac:dyDescent="0.2">
      <c r="A438" s="43"/>
      <c r="B438" s="45"/>
      <c r="C438" s="4" t="s">
        <v>665</v>
      </c>
      <c r="D438" s="4" t="s">
        <v>666</v>
      </c>
      <c r="E438" s="5">
        <f>6456</f>
        <v>6456</v>
      </c>
      <c r="F438" s="5">
        <f>0</f>
        <v>0</v>
      </c>
      <c r="G438" s="5" t="s">
        <v>216</v>
      </c>
      <c r="H438" s="59">
        <f>0</f>
        <v>0</v>
      </c>
    </row>
    <row r="439" spans="1:8" ht="22.5" customHeight="1" x14ac:dyDescent="0.2">
      <c r="A439" s="43"/>
      <c r="B439" s="45"/>
      <c r="C439" s="4" t="s">
        <v>667</v>
      </c>
      <c r="D439" s="4" t="s">
        <v>668</v>
      </c>
      <c r="E439" s="5">
        <f>1776.66285</f>
        <v>1776.6628499999999</v>
      </c>
      <c r="F439" s="5">
        <f>0</f>
        <v>0</v>
      </c>
      <c r="G439" s="5" t="s">
        <v>216</v>
      </c>
      <c r="H439" s="59">
        <f>0</f>
        <v>0</v>
      </c>
    </row>
    <row r="440" spans="1:8" ht="22.5" customHeight="1" x14ac:dyDescent="0.2">
      <c r="A440" s="43"/>
      <c r="B440" s="45"/>
      <c r="C440" s="4" t="s">
        <v>669</v>
      </c>
      <c r="D440" s="4" t="s">
        <v>670</v>
      </c>
      <c r="E440" s="5">
        <f>19443.55515</f>
        <v>19443.55515</v>
      </c>
      <c r="F440" s="5">
        <f>0</f>
        <v>0</v>
      </c>
      <c r="G440" s="5" t="s">
        <v>216</v>
      </c>
      <c r="H440" s="59">
        <f>0</f>
        <v>0</v>
      </c>
    </row>
    <row r="441" spans="1:8" ht="22.5" customHeight="1" x14ac:dyDescent="0.2">
      <c r="A441" s="43"/>
      <c r="B441" s="45"/>
      <c r="C441" s="4" t="s">
        <v>671</v>
      </c>
      <c r="D441" s="4" t="s">
        <v>672</v>
      </c>
      <c r="E441" s="5">
        <f>29322.57476</f>
        <v>29322.57476</v>
      </c>
      <c r="F441" s="5">
        <f>0</f>
        <v>0</v>
      </c>
      <c r="G441" s="5" t="s">
        <v>216</v>
      </c>
      <c r="H441" s="59">
        <f>0</f>
        <v>0</v>
      </c>
    </row>
    <row r="442" spans="1:8" ht="22.5" customHeight="1" x14ac:dyDescent="0.2">
      <c r="A442" s="43"/>
      <c r="B442" s="45"/>
      <c r="C442" s="4" t="s">
        <v>673</v>
      </c>
      <c r="D442" s="4" t="s">
        <v>674</v>
      </c>
      <c r="E442" s="5">
        <f>2507.75224</f>
        <v>2507.7522399999998</v>
      </c>
      <c r="F442" s="5">
        <f>0</f>
        <v>0</v>
      </c>
      <c r="G442" s="5" t="s">
        <v>216</v>
      </c>
      <c r="H442" s="59">
        <f>0</f>
        <v>0</v>
      </c>
    </row>
    <row r="443" spans="1:8" ht="22.5" customHeight="1" x14ac:dyDescent="0.2">
      <c r="A443" s="43"/>
      <c r="B443" s="45"/>
      <c r="C443" s="4" t="s">
        <v>68</v>
      </c>
      <c r="D443" s="4" t="s">
        <v>69</v>
      </c>
      <c r="E443" s="5">
        <f>E444</f>
        <v>18000</v>
      </c>
      <c r="F443" s="5">
        <f>F444</f>
        <v>0</v>
      </c>
      <c r="G443" s="5" t="s">
        <v>216</v>
      </c>
      <c r="H443" s="59">
        <f>H444</f>
        <v>0</v>
      </c>
    </row>
    <row r="444" spans="1:8" ht="22.5" customHeight="1" x14ac:dyDescent="0.2">
      <c r="A444" s="43"/>
      <c r="B444" s="45"/>
      <c r="C444" s="4" t="s">
        <v>209</v>
      </c>
      <c r="D444" s="4" t="s">
        <v>675</v>
      </c>
      <c r="E444" s="5">
        <f>5400+12600</f>
        <v>18000</v>
      </c>
      <c r="F444" s="5">
        <f>0</f>
        <v>0</v>
      </c>
      <c r="G444" s="5" t="s">
        <v>216</v>
      </c>
      <c r="H444" s="59">
        <f>0</f>
        <v>0</v>
      </c>
    </row>
    <row r="445" spans="1:8" ht="22.5" customHeight="1" x14ac:dyDescent="0.2">
      <c r="A445" s="43"/>
      <c r="B445" s="45"/>
      <c r="C445" s="4" t="s">
        <v>676</v>
      </c>
      <c r="D445" s="4" t="s">
        <v>53</v>
      </c>
      <c r="E445" s="5">
        <f>E446</f>
        <v>102044</v>
      </c>
      <c r="F445" s="5">
        <f>F446</f>
        <v>0</v>
      </c>
      <c r="G445" s="5" t="s">
        <v>216</v>
      </c>
      <c r="H445" s="59">
        <f>H446</f>
        <v>0</v>
      </c>
    </row>
    <row r="446" spans="1:8" ht="22.5" customHeight="1" x14ac:dyDescent="0.2">
      <c r="A446" s="43"/>
      <c r="B446" s="45"/>
      <c r="C446" s="4" t="s">
        <v>649</v>
      </c>
      <c r="D446" s="4" t="s">
        <v>677</v>
      </c>
      <c r="E446" s="5">
        <f>102044</f>
        <v>102044</v>
      </c>
      <c r="F446" s="5">
        <f>0</f>
        <v>0</v>
      </c>
      <c r="G446" s="5" t="s">
        <v>216</v>
      </c>
      <c r="H446" s="59">
        <f>0</f>
        <v>0</v>
      </c>
    </row>
    <row r="447" spans="1:8" ht="22.5" customHeight="1" thickBot="1" x14ac:dyDescent="0.25">
      <c r="A447" s="37" t="s">
        <v>6</v>
      </c>
      <c r="B447" s="38"/>
      <c r="C447" s="38"/>
      <c r="D447" s="38"/>
      <c r="E447" s="55">
        <f>E415+E424</f>
        <v>750669.74393000011</v>
      </c>
      <c r="F447" s="53">
        <f>F415+F424</f>
        <v>49643.471420000002</v>
      </c>
      <c r="G447" s="54" t="s">
        <v>681</v>
      </c>
      <c r="H447" s="61">
        <f>H415+H424</f>
        <v>49643.471420000002</v>
      </c>
    </row>
    <row r="448" spans="1:8" ht="22.5" customHeight="1" x14ac:dyDescent="0.2">
      <c r="A448" s="35">
        <v>18</v>
      </c>
      <c r="B448" s="36" t="s">
        <v>23</v>
      </c>
      <c r="C448" s="13" t="s">
        <v>31</v>
      </c>
      <c r="D448" s="13" t="s">
        <v>481</v>
      </c>
      <c r="E448" s="3">
        <f>E449+E450+E451+E452</f>
        <v>0</v>
      </c>
      <c r="F448" s="3">
        <f>F449+F450+F451+F452</f>
        <v>0</v>
      </c>
      <c r="G448" s="3" t="s">
        <v>29</v>
      </c>
      <c r="H448" s="60">
        <f>H449+H450+H451+H452</f>
        <v>0</v>
      </c>
    </row>
    <row r="449" spans="1:8" ht="22.5" customHeight="1" x14ac:dyDescent="0.2">
      <c r="A449" s="43"/>
      <c r="B449" s="45"/>
      <c r="C449" s="4" t="s">
        <v>30</v>
      </c>
      <c r="D449" s="4" t="s">
        <v>34</v>
      </c>
      <c r="E449" s="5">
        <f>0</f>
        <v>0</v>
      </c>
      <c r="F449" s="5">
        <f>0</f>
        <v>0</v>
      </c>
      <c r="G449" s="5" t="s">
        <v>29</v>
      </c>
      <c r="H449" s="59">
        <f>0</f>
        <v>0</v>
      </c>
    </row>
    <row r="450" spans="1:8" ht="22.5" customHeight="1" x14ac:dyDescent="0.2">
      <c r="A450" s="43"/>
      <c r="B450" s="45"/>
      <c r="C450" s="4" t="s">
        <v>27</v>
      </c>
      <c r="D450" s="4" t="s">
        <v>35</v>
      </c>
      <c r="E450" s="5">
        <f>0</f>
        <v>0</v>
      </c>
      <c r="F450" s="5">
        <f>0</f>
        <v>0</v>
      </c>
      <c r="G450" s="5" t="s">
        <v>29</v>
      </c>
      <c r="H450" s="59">
        <f>0</f>
        <v>0</v>
      </c>
    </row>
    <row r="451" spans="1:8" ht="22.5" customHeight="1" x14ac:dyDescent="0.2">
      <c r="A451" s="43"/>
      <c r="B451" s="45"/>
      <c r="C451" s="4" t="s">
        <v>482</v>
      </c>
      <c r="D451" s="4" t="s">
        <v>483</v>
      </c>
      <c r="E451" s="5">
        <f>0</f>
        <v>0</v>
      </c>
      <c r="F451" s="5">
        <f>0</f>
        <v>0</v>
      </c>
      <c r="G451" s="5" t="s">
        <v>29</v>
      </c>
      <c r="H451" s="59">
        <f>0</f>
        <v>0</v>
      </c>
    </row>
    <row r="452" spans="1:8" ht="22.5" customHeight="1" x14ac:dyDescent="0.2">
      <c r="A452" s="43"/>
      <c r="B452" s="45"/>
      <c r="C452" s="4" t="s">
        <v>37</v>
      </c>
      <c r="D452" s="4" t="s">
        <v>38</v>
      </c>
      <c r="E452" s="5">
        <f>0</f>
        <v>0</v>
      </c>
      <c r="F452" s="5">
        <f>0</f>
        <v>0</v>
      </c>
      <c r="G452" s="5" t="s">
        <v>29</v>
      </c>
      <c r="H452" s="59">
        <f>0</f>
        <v>0</v>
      </c>
    </row>
    <row r="453" spans="1:8" ht="22.5" customHeight="1" x14ac:dyDescent="0.2">
      <c r="A453" s="43"/>
      <c r="B453" s="45"/>
      <c r="C453" s="13" t="s">
        <v>28</v>
      </c>
      <c r="D453" s="13" t="s">
        <v>484</v>
      </c>
      <c r="E453" s="3">
        <f>E454+E455</f>
        <v>0</v>
      </c>
      <c r="F453" s="3">
        <f>F454+F455</f>
        <v>0</v>
      </c>
      <c r="G453" s="3" t="s">
        <v>29</v>
      </c>
      <c r="H453" s="60">
        <f>H454+H455</f>
        <v>0</v>
      </c>
    </row>
    <row r="454" spans="1:8" ht="22.5" customHeight="1" x14ac:dyDescent="0.2">
      <c r="A454" s="43"/>
      <c r="B454" s="45"/>
      <c r="C454" s="4" t="s">
        <v>33</v>
      </c>
      <c r="D454" s="4" t="s">
        <v>39</v>
      </c>
      <c r="E454" s="5">
        <f>0</f>
        <v>0</v>
      </c>
      <c r="F454" s="5">
        <f>0</f>
        <v>0</v>
      </c>
      <c r="G454" s="5" t="s">
        <v>29</v>
      </c>
      <c r="H454" s="59">
        <f>0</f>
        <v>0</v>
      </c>
    </row>
    <row r="455" spans="1:8" ht="22.5" customHeight="1" x14ac:dyDescent="0.2">
      <c r="A455" s="43"/>
      <c r="B455" s="45"/>
      <c r="C455" s="4" t="s">
        <v>40</v>
      </c>
      <c r="D455" s="4" t="s">
        <v>41</v>
      </c>
      <c r="E455" s="5">
        <f>0</f>
        <v>0</v>
      </c>
      <c r="F455" s="5">
        <f>0</f>
        <v>0</v>
      </c>
      <c r="G455" s="5" t="s">
        <v>29</v>
      </c>
      <c r="H455" s="59">
        <f>0</f>
        <v>0</v>
      </c>
    </row>
    <row r="456" spans="1:8" ht="22.5" customHeight="1" thickBot="1" x14ac:dyDescent="0.25">
      <c r="A456" s="32" t="s">
        <v>6</v>
      </c>
      <c r="B456" s="33"/>
      <c r="C456" s="33"/>
      <c r="D456" s="34"/>
      <c r="E456" s="55">
        <f>E448+E453</f>
        <v>0</v>
      </c>
      <c r="F456" s="55">
        <f>F448+F453</f>
        <v>0</v>
      </c>
      <c r="G456" s="54" t="s">
        <v>29</v>
      </c>
      <c r="H456" s="62">
        <f>H448+H453</f>
        <v>0</v>
      </c>
    </row>
    <row r="460" spans="1:8" ht="22.5" customHeight="1" x14ac:dyDescent="0.2">
      <c r="D460" s="16"/>
    </row>
    <row r="461" spans="1:8" ht="22.5" customHeight="1" x14ac:dyDescent="0.2">
      <c r="E461" s="19"/>
      <c r="F461" s="19"/>
    </row>
  </sheetData>
  <mergeCells count="55">
    <mergeCell ref="A379:D379"/>
    <mergeCell ref="B173:B245"/>
    <mergeCell ref="A173:A245"/>
    <mergeCell ref="A448:A455"/>
    <mergeCell ref="B448:B455"/>
    <mergeCell ref="A403:D403"/>
    <mergeCell ref="A380:A402"/>
    <mergeCell ref="B380:B402"/>
    <mergeCell ref="A359:A378"/>
    <mergeCell ref="B359:B378"/>
    <mergeCell ref="B329:B357"/>
    <mergeCell ref="A358:D358"/>
    <mergeCell ref="A456:D456"/>
    <mergeCell ref="A404:A413"/>
    <mergeCell ref="B404:B413"/>
    <mergeCell ref="A414:D414"/>
    <mergeCell ref="A415:A446"/>
    <mergeCell ref="B415:B446"/>
    <mergeCell ref="A447:D447"/>
    <mergeCell ref="A1:H2"/>
    <mergeCell ref="A276:A295"/>
    <mergeCell ref="B276:B295"/>
    <mergeCell ref="A328:D328"/>
    <mergeCell ref="A329:A357"/>
    <mergeCell ref="A172:D172"/>
    <mergeCell ref="A259:D259"/>
    <mergeCell ref="A260:A274"/>
    <mergeCell ref="B260:B274"/>
    <mergeCell ref="A275:D275"/>
    <mergeCell ref="A246:D246"/>
    <mergeCell ref="A247:A258"/>
    <mergeCell ref="B247:B258"/>
    <mergeCell ref="A297:A327"/>
    <mergeCell ref="B297:B327"/>
    <mergeCell ref="A296:D296"/>
    <mergeCell ref="A111:A135"/>
    <mergeCell ref="B111:B135"/>
    <mergeCell ref="A136:D136"/>
    <mergeCell ref="A137:A154"/>
    <mergeCell ref="B137:B154"/>
    <mergeCell ref="A155:D155"/>
    <mergeCell ref="A162:D162"/>
    <mergeCell ref="A163:A171"/>
    <mergeCell ref="B163:B171"/>
    <mergeCell ref="A156:A161"/>
    <mergeCell ref="B156:B161"/>
    <mergeCell ref="A110:D110"/>
    <mergeCell ref="A5:A13"/>
    <mergeCell ref="B5:B13"/>
    <mergeCell ref="A14:D14"/>
    <mergeCell ref="A15:A54"/>
    <mergeCell ref="B15:B54"/>
    <mergeCell ref="A55:D55"/>
    <mergeCell ref="A56:A109"/>
    <mergeCell ref="B56:B109"/>
  </mergeCells>
  <pageMargins left="0" right="0" top="0" bottom="0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2025-04-23T14:33:10Z</cp:lastPrinted>
  <dcterms:created xsi:type="dcterms:W3CDTF">2020-07-31T08:15:26Z</dcterms:created>
  <dcterms:modified xsi:type="dcterms:W3CDTF">2025-04-28T07:56:28Z</dcterms:modified>
</cp:coreProperties>
</file>